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gbratx-my.sharepoint.com/personal/kjanota_gbra_org/Documents/Documents/Scanned Documents/Budget Binder for Website/"/>
    </mc:Choice>
  </mc:AlternateContent>
  <xr:revisionPtr revIDLastSave="0" documentId="8_{15839383-00FD-4258-956D-F0DE707CAE3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ilter" sheetId="1" state="hidden" r:id="rId1"/>
    <sheet name="Work Plan" sheetId="2" r:id="rId2"/>
    <sheet name="Sheet1" sheetId="6" state="veryHidden" r:id="rId3"/>
    <sheet name="Sheet2" sheetId="7" state="veryHidden" r:id="rId4"/>
    <sheet name="Sheet3" sheetId="9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F7" i="2" s="1"/>
  <c r="C5" i="2"/>
  <c r="F5" i="2"/>
  <c r="F8" i="2"/>
  <c r="I10" i="2"/>
  <c r="K10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F37" i="2"/>
  <c r="I37" i="2"/>
  <c r="K37" i="2"/>
  <c r="F39" i="2"/>
  <c r="F48" i="2" s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I48" i="2"/>
  <c r="K48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F59" i="2"/>
  <c r="I59" i="2"/>
  <c r="K59" i="2"/>
  <c r="F61" i="2"/>
  <c r="D62" i="2"/>
  <c r="E62" i="2"/>
  <c r="F62" i="2"/>
  <c r="D63" i="2"/>
  <c r="E63" i="2"/>
  <c r="F63" i="2"/>
  <c r="F65" i="2"/>
  <c r="I65" i="2"/>
  <c r="K65" i="2"/>
  <c r="F67" i="2"/>
  <c r="F136" i="2" s="1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I136" i="2"/>
  <c r="K136" i="2"/>
  <c r="F138" i="2"/>
  <c r="F148" i="2" s="1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I148" i="2"/>
  <c r="K148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F158" i="2"/>
  <c r="I158" i="2"/>
  <c r="K158" i="2"/>
  <c r="F160" i="2"/>
  <c r="F170" i="2" s="1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I170" i="2"/>
  <c r="K170" i="2"/>
  <c r="F172" i="2"/>
  <c r="F200" i="2" s="1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I200" i="2"/>
  <c r="K200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F210" i="2"/>
  <c r="I210" i="2"/>
  <c r="K210" i="2"/>
  <c r="F212" i="2"/>
  <c r="D213" i="2"/>
  <c r="E213" i="2"/>
  <c r="F213" i="2"/>
  <c r="F215" i="2"/>
  <c r="I215" i="2"/>
  <c r="K215" i="2"/>
  <c r="F217" i="2"/>
  <c r="F226" i="2" s="1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I226" i="2"/>
  <c r="K226" i="2"/>
  <c r="F228" i="2"/>
  <c r="F233" i="2" s="1"/>
  <c r="D229" i="2"/>
  <c r="E229" i="2"/>
  <c r="F229" i="2"/>
  <c r="D230" i="2"/>
  <c r="E230" i="2"/>
  <c r="F230" i="2"/>
  <c r="D231" i="2"/>
  <c r="E231" i="2"/>
  <c r="F231" i="2"/>
  <c r="I233" i="2"/>
  <c r="K233" i="2"/>
  <c r="F235" i="2"/>
  <c r="F246" i="2" s="1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I246" i="2"/>
  <c r="K246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8" i="2"/>
  <c r="E288" i="2"/>
  <c r="F288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F298" i="2"/>
  <c r="I298" i="2"/>
  <c r="K298" i="2"/>
  <c r="F300" i="2"/>
  <c r="F307" i="2" s="1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I307" i="2"/>
  <c r="K307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F319" i="2"/>
  <c r="I319" i="2"/>
  <c r="K319" i="2"/>
  <c r="F321" i="2"/>
  <c r="F328" i="2" s="1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I328" i="2"/>
  <c r="K328" i="2"/>
  <c r="F330" i="2"/>
  <c r="D331" i="2"/>
  <c r="E331" i="2"/>
  <c r="F331" i="2"/>
  <c r="F333" i="2"/>
  <c r="I333" i="2"/>
  <c r="I335" i="2" s="1"/>
  <c r="K333" i="2"/>
  <c r="K335" i="2" s="1"/>
  <c r="F340" i="2"/>
  <c r="D341" i="2"/>
  <c r="E341" i="2"/>
  <c r="F341" i="2"/>
  <c r="D342" i="2"/>
  <c r="E342" i="2"/>
  <c r="F342" i="2"/>
  <c r="D343" i="2"/>
  <c r="E343" i="2"/>
  <c r="F343" i="2"/>
  <c r="F345" i="2"/>
  <c r="I345" i="2"/>
  <c r="K345" i="2"/>
  <c r="F347" i="2"/>
  <c r="F357" i="2" s="1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I357" i="2"/>
  <c r="K357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F389" i="2"/>
  <c r="I389" i="2"/>
  <c r="K389" i="2"/>
  <c r="F391" i="2"/>
  <c r="F414" i="2" s="1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I414" i="2"/>
  <c r="K414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D427" i="2"/>
  <c r="E427" i="2"/>
  <c r="F427" i="2"/>
  <c r="D428" i="2"/>
  <c r="E428" i="2"/>
  <c r="F428" i="2"/>
  <c r="F430" i="2"/>
  <c r="I430" i="2"/>
  <c r="K430" i="2"/>
  <c r="F432" i="2"/>
  <c r="F443" i="2" s="1"/>
  <c r="D433" i="2"/>
  <c r="E433" i="2"/>
  <c r="F433" i="2"/>
  <c r="D434" i="2"/>
  <c r="E434" i="2"/>
  <c r="F434" i="2"/>
  <c r="D435" i="2"/>
  <c r="E435" i="2"/>
  <c r="F435" i="2"/>
  <c r="D436" i="2"/>
  <c r="E436" i="2"/>
  <c r="F436" i="2"/>
  <c r="D437" i="2"/>
  <c r="E437" i="2"/>
  <c r="F437" i="2"/>
  <c r="D438" i="2"/>
  <c r="E438" i="2"/>
  <c r="F438" i="2"/>
  <c r="D439" i="2"/>
  <c r="E439" i="2"/>
  <c r="F439" i="2"/>
  <c r="D440" i="2"/>
  <c r="E440" i="2"/>
  <c r="F440" i="2"/>
  <c r="D441" i="2"/>
  <c r="E441" i="2"/>
  <c r="F441" i="2"/>
  <c r="I443" i="2"/>
  <c r="I445" i="2" s="1"/>
  <c r="K443" i="2"/>
  <c r="D448" i="2"/>
  <c r="E448" i="2"/>
  <c r="F448" i="2"/>
  <c r="D449" i="2"/>
  <c r="E449" i="2"/>
  <c r="F449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F455" i="2"/>
  <c r="I455" i="2"/>
  <c r="K455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D464" i="2"/>
  <c r="E464" i="2"/>
  <c r="F464" i="2"/>
  <c r="D465" i="2"/>
  <c r="E465" i="2"/>
  <c r="F465" i="2"/>
  <c r="D466" i="2"/>
  <c r="E466" i="2"/>
  <c r="F466" i="2"/>
  <c r="D467" i="2"/>
  <c r="E467" i="2"/>
  <c r="F467" i="2"/>
  <c r="D468" i="2"/>
  <c r="E468" i="2"/>
  <c r="F468" i="2"/>
  <c r="D469" i="2"/>
  <c r="E469" i="2"/>
  <c r="F469" i="2"/>
  <c r="D470" i="2"/>
  <c r="E470" i="2"/>
  <c r="F470" i="2"/>
  <c r="D471" i="2"/>
  <c r="E471" i="2"/>
  <c r="F471" i="2"/>
  <c r="D472" i="2"/>
  <c r="E472" i="2"/>
  <c r="F472" i="2"/>
  <c r="D473" i="2"/>
  <c r="E473" i="2"/>
  <c r="F473" i="2"/>
  <c r="F475" i="2"/>
  <c r="I475" i="2"/>
  <c r="K475" i="2"/>
  <c r="F477" i="2"/>
  <c r="D478" i="2"/>
  <c r="E478" i="2"/>
  <c r="F478" i="2"/>
  <c r="D479" i="2"/>
  <c r="E479" i="2"/>
  <c r="F479" i="2"/>
  <c r="D480" i="2"/>
  <c r="E480" i="2"/>
  <c r="F480" i="2"/>
  <c r="D481" i="2"/>
  <c r="E481" i="2"/>
  <c r="F481" i="2"/>
  <c r="D482" i="2"/>
  <c r="E482" i="2"/>
  <c r="F482" i="2"/>
  <c r="D483" i="2"/>
  <c r="E483" i="2"/>
  <c r="F483" i="2"/>
  <c r="D484" i="2"/>
  <c r="E484" i="2"/>
  <c r="F484" i="2"/>
  <c r="D485" i="2"/>
  <c r="E485" i="2"/>
  <c r="F485" i="2"/>
  <c r="D486" i="2"/>
  <c r="E486" i="2"/>
  <c r="F486" i="2"/>
  <c r="F488" i="2"/>
  <c r="I488" i="2"/>
  <c r="K488" i="2"/>
  <c r="F492" i="2"/>
  <c r="D493" i="2"/>
  <c r="E493" i="2"/>
  <c r="F493" i="2"/>
  <c r="F495" i="2"/>
  <c r="I495" i="2"/>
  <c r="K495" i="2"/>
  <c r="F497" i="2"/>
  <c r="F501" i="2" s="1"/>
  <c r="D498" i="2"/>
  <c r="E498" i="2"/>
  <c r="F498" i="2"/>
  <c r="D499" i="2"/>
  <c r="E499" i="2"/>
  <c r="F499" i="2"/>
  <c r="I501" i="2"/>
  <c r="K501" i="2"/>
  <c r="F503" i="2"/>
  <c r="F507" i="2" s="1"/>
  <c r="D504" i="2"/>
  <c r="E504" i="2"/>
  <c r="F504" i="2"/>
  <c r="D505" i="2"/>
  <c r="E505" i="2"/>
  <c r="F505" i="2"/>
  <c r="I507" i="2"/>
  <c r="K507" i="2"/>
  <c r="F509" i="2"/>
  <c r="D510" i="2"/>
  <c r="E510" i="2"/>
  <c r="F510" i="2"/>
  <c r="D511" i="2"/>
  <c r="E511" i="2"/>
  <c r="F511" i="2"/>
  <c r="D512" i="2"/>
  <c r="E512" i="2"/>
  <c r="F512" i="2"/>
  <c r="D513" i="2"/>
  <c r="E513" i="2"/>
  <c r="F513" i="2"/>
  <c r="D514" i="2"/>
  <c r="E514" i="2"/>
  <c r="F514" i="2"/>
  <c r="D515" i="2"/>
  <c r="E515" i="2"/>
  <c r="F515" i="2"/>
  <c r="D516" i="2"/>
  <c r="E516" i="2"/>
  <c r="F516" i="2"/>
  <c r="D517" i="2"/>
  <c r="E517" i="2"/>
  <c r="F517" i="2"/>
  <c r="D518" i="2"/>
  <c r="E518" i="2"/>
  <c r="F518" i="2"/>
  <c r="D519" i="2"/>
  <c r="E519" i="2"/>
  <c r="F519" i="2"/>
  <c r="D520" i="2"/>
  <c r="E520" i="2"/>
  <c r="F520" i="2"/>
  <c r="D521" i="2"/>
  <c r="E521" i="2"/>
  <c r="F521" i="2"/>
  <c r="D522" i="2"/>
  <c r="E522" i="2"/>
  <c r="F522" i="2"/>
  <c r="D523" i="2"/>
  <c r="E523" i="2"/>
  <c r="F523" i="2"/>
  <c r="D524" i="2"/>
  <c r="E524" i="2"/>
  <c r="F524" i="2"/>
  <c r="D525" i="2"/>
  <c r="E525" i="2"/>
  <c r="F525" i="2"/>
  <c r="D526" i="2"/>
  <c r="E526" i="2"/>
  <c r="F526" i="2"/>
  <c r="D527" i="2"/>
  <c r="E527" i="2"/>
  <c r="F527" i="2"/>
  <c r="D528" i="2"/>
  <c r="E528" i="2"/>
  <c r="F528" i="2"/>
  <c r="D529" i="2"/>
  <c r="E529" i="2"/>
  <c r="F529" i="2"/>
  <c r="D530" i="2"/>
  <c r="E530" i="2"/>
  <c r="F530" i="2"/>
  <c r="F532" i="2"/>
  <c r="I532" i="2"/>
  <c r="K532" i="2"/>
  <c r="F534" i="2"/>
  <c r="D535" i="2"/>
  <c r="E535" i="2"/>
  <c r="F535" i="2"/>
  <c r="D536" i="2"/>
  <c r="E536" i="2"/>
  <c r="F536" i="2"/>
  <c r="F538" i="2"/>
  <c r="I538" i="2"/>
  <c r="K538" i="2"/>
  <c r="D549" i="2"/>
  <c r="E549" i="2"/>
  <c r="F549" i="2"/>
  <c r="D550" i="2"/>
  <c r="E550" i="2"/>
  <c r="F550" i="2"/>
  <c r="D551" i="2"/>
  <c r="E551" i="2"/>
  <c r="F551" i="2"/>
  <c r="D552" i="2"/>
  <c r="E552" i="2"/>
  <c r="F552" i="2"/>
  <c r="D553" i="2"/>
  <c r="E553" i="2"/>
  <c r="F553" i="2"/>
  <c r="D554" i="2"/>
  <c r="E554" i="2"/>
  <c r="F554" i="2"/>
  <c r="D555" i="2"/>
  <c r="E555" i="2"/>
  <c r="F555" i="2"/>
  <c r="D556" i="2"/>
  <c r="E556" i="2"/>
  <c r="F556" i="2"/>
  <c r="D557" i="2"/>
  <c r="E557" i="2"/>
  <c r="F557" i="2"/>
  <c r="D558" i="2"/>
  <c r="E558" i="2"/>
  <c r="F558" i="2"/>
  <c r="D559" i="2"/>
  <c r="E559" i="2"/>
  <c r="F559" i="2"/>
  <c r="D560" i="2"/>
  <c r="E560" i="2"/>
  <c r="F560" i="2"/>
  <c r="D561" i="2"/>
  <c r="E561" i="2"/>
  <c r="F561" i="2"/>
  <c r="D562" i="2"/>
  <c r="E562" i="2"/>
  <c r="F562" i="2"/>
  <c r="D563" i="2"/>
  <c r="E563" i="2"/>
  <c r="F563" i="2"/>
  <c r="D564" i="2"/>
  <c r="E564" i="2"/>
  <c r="F564" i="2"/>
  <c r="D565" i="2"/>
  <c r="E565" i="2"/>
  <c r="F565" i="2"/>
  <c r="D566" i="2"/>
  <c r="E566" i="2"/>
  <c r="F566" i="2"/>
  <c r="D567" i="2"/>
  <c r="E567" i="2"/>
  <c r="F567" i="2"/>
  <c r="D568" i="2"/>
  <c r="E568" i="2"/>
  <c r="F568" i="2"/>
  <c r="D569" i="2"/>
  <c r="E569" i="2"/>
  <c r="F569" i="2"/>
  <c r="D570" i="2"/>
  <c r="E570" i="2"/>
  <c r="F570" i="2"/>
  <c r="D571" i="2"/>
  <c r="E571" i="2"/>
  <c r="F571" i="2"/>
  <c r="D572" i="2"/>
  <c r="E572" i="2"/>
  <c r="F572" i="2"/>
  <c r="D573" i="2"/>
  <c r="E573" i="2"/>
  <c r="F573" i="2"/>
  <c r="D574" i="2"/>
  <c r="E574" i="2"/>
  <c r="F574" i="2"/>
  <c r="D575" i="2"/>
  <c r="E575" i="2"/>
  <c r="F575" i="2"/>
  <c r="D576" i="2"/>
  <c r="E576" i="2"/>
  <c r="F576" i="2"/>
  <c r="D577" i="2"/>
  <c r="E577" i="2"/>
  <c r="F577" i="2"/>
  <c r="D578" i="2"/>
  <c r="E578" i="2"/>
  <c r="F578" i="2"/>
  <c r="D579" i="2"/>
  <c r="E579" i="2"/>
  <c r="F579" i="2"/>
  <c r="D580" i="2"/>
  <c r="E580" i="2"/>
  <c r="F580" i="2"/>
  <c r="D581" i="2"/>
  <c r="E581" i="2"/>
  <c r="F581" i="2"/>
  <c r="D582" i="2"/>
  <c r="E582" i="2"/>
  <c r="F582" i="2"/>
  <c r="D583" i="2"/>
  <c r="E583" i="2"/>
  <c r="F583" i="2"/>
  <c r="D584" i="2"/>
  <c r="E584" i="2"/>
  <c r="F584" i="2"/>
  <c r="D585" i="2"/>
  <c r="E585" i="2"/>
  <c r="F585" i="2"/>
  <c r="D586" i="2"/>
  <c r="E586" i="2"/>
  <c r="F586" i="2"/>
  <c r="D587" i="2"/>
  <c r="E587" i="2"/>
  <c r="F587" i="2"/>
  <c r="D588" i="2"/>
  <c r="E588" i="2"/>
  <c r="F588" i="2"/>
  <c r="D589" i="2"/>
  <c r="E589" i="2"/>
  <c r="F589" i="2"/>
  <c r="D590" i="2"/>
  <c r="E590" i="2"/>
  <c r="F590" i="2"/>
  <c r="D591" i="2"/>
  <c r="E591" i="2"/>
  <c r="F591" i="2"/>
  <c r="D592" i="2"/>
  <c r="E592" i="2"/>
  <c r="F592" i="2"/>
  <c r="D593" i="2"/>
  <c r="E593" i="2"/>
  <c r="F593" i="2"/>
  <c r="D594" i="2"/>
  <c r="E594" i="2"/>
  <c r="F594" i="2"/>
  <c r="D595" i="2"/>
  <c r="E595" i="2"/>
  <c r="F595" i="2"/>
  <c r="D596" i="2"/>
  <c r="E596" i="2"/>
  <c r="F596" i="2"/>
  <c r="D597" i="2"/>
  <c r="E597" i="2"/>
  <c r="F597" i="2"/>
  <c r="D598" i="2"/>
  <c r="E598" i="2"/>
  <c r="F598" i="2"/>
  <c r="D599" i="2"/>
  <c r="E599" i="2"/>
  <c r="F599" i="2"/>
  <c r="D600" i="2"/>
  <c r="E600" i="2"/>
  <c r="F600" i="2"/>
  <c r="D601" i="2"/>
  <c r="E601" i="2"/>
  <c r="F601" i="2"/>
  <c r="D602" i="2"/>
  <c r="E602" i="2"/>
  <c r="F602" i="2"/>
  <c r="D603" i="2"/>
  <c r="E603" i="2"/>
  <c r="F603" i="2"/>
  <c r="D604" i="2"/>
  <c r="E604" i="2"/>
  <c r="F604" i="2"/>
  <c r="D605" i="2"/>
  <c r="E605" i="2"/>
  <c r="F605" i="2"/>
  <c r="D606" i="2"/>
  <c r="E606" i="2"/>
  <c r="F606" i="2"/>
  <c r="D607" i="2"/>
  <c r="E607" i="2"/>
  <c r="F607" i="2"/>
  <c r="D608" i="2"/>
  <c r="E608" i="2"/>
  <c r="F608" i="2"/>
  <c r="D609" i="2"/>
  <c r="E609" i="2"/>
  <c r="F609" i="2"/>
  <c r="D610" i="2"/>
  <c r="E610" i="2"/>
  <c r="F610" i="2"/>
  <c r="D611" i="2"/>
  <c r="E611" i="2"/>
  <c r="F611" i="2"/>
  <c r="D612" i="2"/>
  <c r="E612" i="2"/>
  <c r="F612" i="2"/>
  <c r="D613" i="2"/>
  <c r="E613" i="2"/>
  <c r="F613" i="2"/>
  <c r="D614" i="2"/>
  <c r="E614" i="2"/>
  <c r="F614" i="2"/>
  <c r="D615" i="2"/>
  <c r="E615" i="2"/>
  <c r="F615" i="2"/>
  <c r="D616" i="2"/>
  <c r="E616" i="2"/>
  <c r="F616" i="2"/>
  <c r="D617" i="2"/>
  <c r="E617" i="2"/>
  <c r="F617" i="2"/>
  <c r="D618" i="2"/>
  <c r="E618" i="2"/>
  <c r="F618" i="2"/>
  <c r="D619" i="2"/>
  <c r="E619" i="2"/>
  <c r="F619" i="2"/>
  <c r="D620" i="2"/>
  <c r="E620" i="2"/>
  <c r="F620" i="2"/>
  <c r="D621" i="2"/>
  <c r="E621" i="2"/>
  <c r="F621" i="2"/>
  <c r="D622" i="2"/>
  <c r="E622" i="2"/>
  <c r="F622" i="2"/>
  <c r="D623" i="2"/>
  <c r="E623" i="2"/>
  <c r="F623" i="2"/>
  <c r="D624" i="2"/>
  <c r="E624" i="2"/>
  <c r="F624" i="2"/>
  <c r="D625" i="2"/>
  <c r="E625" i="2"/>
  <c r="F625" i="2"/>
  <c r="D626" i="2"/>
  <c r="E626" i="2"/>
  <c r="F626" i="2"/>
  <c r="F628" i="2"/>
  <c r="I628" i="2"/>
  <c r="I662" i="2" s="1"/>
  <c r="K628" i="2"/>
  <c r="K662" i="2" s="1"/>
  <c r="D631" i="2"/>
  <c r="E631" i="2"/>
  <c r="F631" i="2"/>
  <c r="D632" i="2"/>
  <c r="E632" i="2"/>
  <c r="F632" i="2"/>
  <c r="D633" i="2"/>
  <c r="E633" i="2"/>
  <c r="F633" i="2"/>
  <c r="D634" i="2"/>
  <c r="E634" i="2"/>
  <c r="F634" i="2"/>
  <c r="D635" i="2"/>
  <c r="E635" i="2"/>
  <c r="F635" i="2"/>
  <c r="D636" i="2"/>
  <c r="E636" i="2"/>
  <c r="F636" i="2"/>
  <c r="D637" i="2"/>
  <c r="E637" i="2"/>
  <c r="F637" i="2"/>
  <c r="D638" i="2"/>
  <c r="E638" i="2"/>
  <c r="F638" i="2"/>
  <c r="D639" i="2"/>
  <c r="E639" i="2"/>
  <c r="F639" i="2"/>
  <c r="D640" i="2"/>
  <c r="E640" i="2"/>
  <c r="F640" i="2"/>
  <c r="D641" i="2"/>
  <c r="E641" i="2"/>
  <c r="F641" i="2"/>
  <c r="D642" i="2"/>
  <c r="E642" i="2"/>
  <c r="F642" i="2"/>
  <c r="D643" i="2"/>
  <c r="E643" i="2"/>
  <c r="F643" i="2"/>
  <c r="D644" i="2"/>
  <c r="E644" i="2"/>
  <c r="F644" i="2"/>
  <c r="D645" i="2"/>
  <c r="E645" i="2"/>
  <c r="F645" i="2"/>
  <c r="D646" i="2"/>
  <c r="E646" i="2"/>
  <c r="F646" i="2"/>
  <c r="D647" i="2"/>
  <c r="E647" i="2"/>
  <c r="F647" i="2"/>
  <c r="D648" i="2"/>
  <c r="E648" i="2"/>
  <c r="F648" i="2"/>
  <c r="D649" i="2"/>
  <c r="E649" i="2"/>
  <c r="F649" i="2"/>
  <c r="D650" i="2"/>
  <c r="E650" i="2"/>
  <c r="F650" i="2"/>
  <c r="D651" i="2"/>
  <c r="E651" i="2"/>
  <c r="F651" i="2"/>
  <c r="D652" i="2"/>
  <c r="E652" i="2"/>
  <c r="F652" i="2"/>
  <c r="D653" i="2"/>
  <c r="E653" i="2"/>
  <c r="F653" i="2"/>
  <c r="D654" i="2"/>
  <c r="E654" i="2"/>
  <c r="F654" i="2"/>
  <c r="D655" i="2"/>
  <c r="E655" i="2"/>
  <c r="F655" i="2"/>
  <c r="D656" i="2"/>
  <c r="E656" i="2"/>
  <c r="F656" i="2"/>
  <c r="D657" i="2"/>
  <c r="E657" i="2"/>
  <c r="F657" i="2"/>
  <c r="D658" i="2"/>
  <c r="E658" i="2"/>
  <c r="F658" i="2"/>
  <c r="F660" i="2"/>
  <c r="I660" i="2"/>
  <c r="K660" i="2"/>
  <c r="D666" i="2"/>
  <c r="E666" i="2"/>
  <c r="F666" i="2"/>
  <c r="D667" i="2"/>
  <c r="E667" i="2"/>
  <c r="F667" i="2"/>
  <c r="D668" i="2"/>
  <c r="E668" i="2"/>
  <c r="F668" i="2"/>
  <c r="D669" i="2"/>
  <c r="E669" i="2"/>
  <c r="F669" i="2"/>
  <c r="D670" i="2"/>
  <c r="E670" i="2"/>
  <c r="F670" i="2"/>
  <c r="D671" i="2"/>
  <c r="E671" i="2"/>
  <c r="F671" i="2"/>
  <c r="D672" i="2"/>
  <c r="E672" i="2"/>
  <c r="F672" i="2"/>
  <c r="D673" i="2"/>
  <c r="E673" i="2"/>
  <c r="F673" i="2"/>
  <c r="D674" i="2"/>
  <c r="E674" i="2"/>
  <c r="F674" i="2"/>
  <c r="D675" i="2"/>
  <c r="E675" i="2"/>
  <c r="F675" i="2"/>
  <c r="D676" i="2"/>
  <c r="E676" i="2"/>
  <c r="F676" i="2"/>
  <c r="D677" i="2"/>
  <c r="E677" i="2"/>
  <c r="F677" i="2"/>
  <c r="D678" i="2"/>
  <c r="E678" i="2"/>
  <c r="F678" i="2"/>
  <c r="D679" i="2"/>
  <c r="E679" i="2"/>
  <c r="F679" i="2"/>
  <c r="D680" i="2"/>
  <c r="E680" i="2"/>
  <c r="F680" i="2"/>
  <c r="D681" i="2"/>
  <c r="E681" i="2"/>
  <c r="F681" i="2"/>
  <c r="D682" i="2"/>
  <c r="E682" i="2"/>
  <c r="F682" i="2"/>
  <c r="D683" i="2"/>
  <c r="E683" i="2"/>
  <c r="F683" i="2"/>
  <c r="D684" i="2"/>
  <c r="E684" i="2"/>
  <c r="F684" i="2"/>
  <c r="D685" i="2"/>
  <c r="E685" i="2"/>
  <c r="F685" i="2"/>
  <c r="D686" i="2"/>
  <c r="E686" i="2"/>
  <c r="F686" i="2"/>
  <c r="D687" i="2"/>
  <c r="E687" i="2"/>
  <c r="F687" i="2"/>
  <c r="D688" i="2"/>
  <c r="E688" i="2"/>
  <c r="F688" i="2"/>
  <c r="D689" i="2"/>
  <c r="E689" i="2"/>
  <c r="F689" i="2"/>
  <c r="D690" i="2"/>
  <c r="E690" i="2"/>
  <c r="F690" i="2"/>
  <c r="D691" i="2"/>
  <c r="E691" i="2"/>
  <c r="F691" i="2"/>
  <c r="D692" i="2"/>
  <c r="E692" i="2"/>
  <c r="F692" i="2"/>
  <c r="D693" i="2"/>
  <c r="E693" i="2"/>
  <c r="F693" i="2"/>
  <c r="D694" i="2"/>
  <c r="E694" i="2"/>
  <c r="F694" i="2"/>
  <c r="D695" i="2"/>
  <c r="E695" i="2"/>
  <c r="F695" i="2"/>
  <c r="D696" i="2"/>
  <c r="E696" i="2"/>
  <c r="F696" i="2"/>
  <c r="D697" i="2"/>
  <c r="E697" i="2"/>
  <c r="F697" i="2"/>
  <c r="D698" i="2"/>
  <c r="E698" i="2"/>
  <c r="F698" i="2"/>
  <c r="D699" i="2"/>
  <c r="E699" i="2"/>
  <c r="F699" i="2"/>
  <c r="D700" i="2"/>
  <c r="E700" i="2"/>
  <c r="F700" i="2"/>
  <c r="D701" i="2"/>
  <c r="E701" i="2"/>
  <c r="F701" i="2"/>
  <c r="D702" i="2"/>
  <c r="E702" i="2"/>
  <c r="F702" i="2"/>
  <c r="D703" i="2"/>
  <c r="E703" i="2"/>
  <c r="F703" i="2"/>
  <c r="D704" i="2"/>
  <c r="E704" i="2"/>
  <c r="F704" i="2"/>
  <c r="D705" i="2"/>
  <c r="E705" i="2"/>
  <c r="F705" i="2"/>
  <c r="D706" i="2"/>
  <c r="E706" i="2"/>
  <c r="F706" i="2"/>
  <c r="D707" i="2"/>
  <c r="E707" i="2"/>
  <c r="F707" i="2"/>
  <c r="D708" i="2"/>
  <c r="E708" i="2"/>
  <c r="F708" i="2"/>
  <c r="D709" i="2"/>
  <c r="E709" i="2"/>
  <c r="F709" i="2"/>
  <c r="D710" i="2"/>
  <c r="E710" i="2"/>
  <c r="F710" i="2"/>
  <c r="D711" i="2"/>
  <c r="E711" i="2"/>
  <c r="F711" i="2"/>
  <c r="D712" i="2"/>
  <c r="E712" i="2"/>
  <c r="F712" i="2"/>
  <c r="D713" i="2"/>
  <c r="E713" i="2"/>
  <c r="F713" i="2"/>
  <c r="D714" i="2"/>
  <c r="E714" i="2"/>
  <c r="F714" i="2"/>
  <c r="D715" i="2"/>
  <c r="E715" i="2"/>
  <c r="F715" i="2"/>
  <c r="D716" i="2"/>
  <c r="E716" i="2"/>
  <c r="F716" i="2"/>
  <c r="D717" i="2"/>
  <c r="E717" i="2"/>
  <c r="F717" i="2"/>
  <c r="D718" i="2"/>
  <c r="E718" i="2"/>
  <c r="F718" i="2"/>
  <c r="D719" i="2"/>
  <c r="E719" i="2"/>
  <c r="F719" i="2"/>
  <c r="D720" i="2"/>
  <c r="E720" i="2"/>
  <c r="F720" i="2"/>
  <c r="D721" i="2"/>
  <c r="E721" i="2"/>
  <c r="F721" i="2"/>
  <c r="D722" i="2"/>
  <c r="E722" i="2"/>
  <c r="F722" i="2"/>
  <c r="D723" i="2"/>
  <c r="E723" i="2"/>
  <c r="F723" i="2"/>
  <c r="D724" i="2"/>
  <c r="E724" i="2"/>
  <c r="F724" i="2"/>
  <c r="D725" i="2"/>
  <c r="E725" i="2"/>
  <c r="F725" i="2"/>
  <c r="D726" i="2"/>
  <c r="E726" i="2"/>
  <c r="F726" i="2"/>
  <c r="D727" i="2"/>
  <c r="E727" i="2"/>
  <c r="F727" i="2"/>
  <c r="D728" i="2"/>
  <c r="E728" i="2"/>
  <c r="F728" i="2"/>
  <c r="D729" i="2"/>
  <c r="E729" i="2"/>
  <c r="F729" i="2"/>
  <c r="D730" i="2"/>
  <c r="E730" i="2"/>
  <c r="F730" i="2"/>
  <c r="D731" i="2"/>
  <c r="E731" i="2"/>
  <c r="F731" i="2"/>
  <c r="D732" i="2"/>
  <c r="E732" i="2"/>
  <c r="F732" i="2"/>
  <c r="D733" i="2"/>
  <c r="E733" i="2"/>
  <c r="F733" i="2"/>
  <c r="D734" i="2"/>
  <c r="E734" i="2"/>
  <c r="F734" i="2"/>
  <c r="F736" i="2"/>
  <c r="I736" i="2"/>
  <c r="K736" i="2"/>
  <c r="D739" i="2"/>
  <c r="E739" i="2"/>
  <c r="F739" i="2"/>
  <c r="D740" i="2"/>
  <c r="E740" i="2"/>
  <c r="F740" i="2"/>
  <c r="D741" i="2"/>
  <c r="E741" i="2"/>
  <c r="F741" i="2"/>
  <c r="D742" i="2"/>
  <c r="E742" i="2"/>
  <c r="F742" i="2"/>
  <c r="D743" i="2"/>
  <c r="E743" i="2"/>
  <c r="F743" i="2"/>
  <c r="D744" i="2"/>
  <c r="E744" i="2"/>
  <c r="F744" i="2"/>
  <c r="D745" i="2"/>
  <c r="E745" i="2"/>
  <c r="F745" i="2"/>
  <c r="D746" i="2"/>
  <c r="E746" i="2"/>
  <c r="F746" i="2"/>
  <c r="D747" i="2"/>
  <c r="E747" i="2"/>
  <c r="F747" i="2"/>
  <c r="D748" i="2"/>
  <c r="E748" i="2"/>
  <c r="F748" i="2"/>
  <c r="D749" i="2"/>
  <c r="E749" i="2"/>
  <c r="F749" i="2"/>
  <c r="D750" i="2"/>
  <c r="E750" i="2"/>
  <c r="F750" i="2"/>
  <c r="D751" i="2"/>
  <c r="E751" i="2"/>
  <c r="F751" i="2"/>
  <c r="D752" i="2"/>
  <c r="E752" i="2"/>
  <c r="F752" i="2"/>
  <c r="D753" i="2"/>
  <c r="E753" i="2"/>
  <c r="F753" i="2"/>
  <c r="D754" i="2"/>
  <c r="E754" i="2"/>
  <c r="F754" i="2"/>
  <c r="D755" i="2"/>
  <c r="E755" i="2"/>
  <c r="F755" i="2"/>
  <c r="D756" i="2"/>
  <c r="E756" i="2"/>
  <c r="F756" i="2"/>
  <c r="D757" i="2"/>
  <c r="E757" i="2"/>
  <c r="F757" i="2"/>
  <c r="D758" i="2"/>
  <c r="E758" i="2"/>
  <c r="F758" i="2"/>
  <c r="D759" i="2"/>
  <c r="E759" i="2"/>
  <c r="F759" i="2"/>
  <c r="D760" i="2"/>
  <c r="E760" i="2"/>
  <c r="F760" i="2"/>
  <c r="D761" i="2"/>
  <c r="E761" i="2"/>
  <c r="F761" i="2"/>
  <c r="D762" i="2"/>
  <c r="E762" i="2"/>
  <c r="F762" i="2"/>
  <c r="D763" i="2"/>
  <c r="E763" i="2"/>
  <c r="F763" i="2"/>
  <c r="D764" i="2"/>
  <c r="E764" i="2"/>
  <c r="F764" i="2"/>
  <c r="D765" i="2"/>
  <c r="E765" i="2"/>
  <c r="F765" i="2"/>
  <c r="D766" i="2"/>
  <c r="E766" i="2"/>
  <c r="F766" i="2"/>
  <c r="D767" i="2"/>
  <c r="E767" i="2"/>
  <c r="F767" i="2"/>
  <c r="D768" i="2"/>
  <c r="E768" i="2"/>
  <c r="F768" i="2"/>
  <c r="D769" i="2"/>
  <c r="E769" i="2"/>
  <c r="F769" i="2"/>
  <c r="F771" i="2"/>
  <c r="I771" i="2"/>
  <c r="K771" i="2"/>
  <c r="F774" i="2"/>
  <c r="D775" i="2"/>
  <c r="E775" i="2"/>
  <c r="F775" i="2"/>
  <c r="Q530" i="2"/>
  <c r="P530" i="2"/>
  <c r="M530" i="2"/>
  <c r="Q529" i="2"/>
  <c r="P529" i="2"/>
  <c r="M529" i="2"/>
  <c r="Q528" i="2"/>
  <c r="P528" i="2"/>
  <c r="M528" i="2"/>
  <c r="Q527" i="2"/>
  <c r="P527" i="2"/>
  <c r="M527" i="2"/>
  <c r="Q526" i="2"/>
  <c r="P526" i="2"/>
  <c r="M526" i="2"/>
  <c r="Q525" i="2"/>
  <c r="P525" i="2"/>
  <c r="M525" i="2"/>
  <c r="Q524" i="2"/>
  <c r="P524" i="2"/>
  <c r="M524" i="2"/>
  <c r="Q523" i="2"/>
  <c r="P523" i="2"/>
  <c r="M523" i="2"/>
  <c r="Q522" i="2"/>
  <c r="P522" i="2"/>
  <c r="M522" i="2"/>
  <c r="Q521" i="2"/>
  <c r="P521" i="2"/>
  <c r="M521" i="2"/>
  <c r="Q520" i="2"/>
  <c r="P520" i="2"/>
  <c r="M520" i="2"/>
  <c r="Q519" i="2"/>
  <c r="P519" i="2"/>
  <c r="M519" i="2"/>
  <c r="Q518" i="2"/>
  <c r="P518" i="2"/>
  <c r="M518" i="2"/>
  <c r="Q517" i="2"/>
  <c r="P517" i="2"/>
  <c r="M517" i="2"/>
  <c r="Q516" i="2"/>
  <c r="P516" i="2"/>
  <c r="M516" i="2"/>
  <c r="Q515" i="2"/>
  <c r="P515" i="2"/>
  <c r="M515" i="2"/>
  <c r="Q514" i="2"/>
  <c r="P514" i="2"/>
  <c r="M514" i="2"/>
  <c r="Q513" i="2"/>
  <c r="P513" i="2"/>
  <c r="M513" i="2"/>
  <c r="Q512" i="2"/>
  <c r="P512" i="2"/>
  <c r="M512" i="2"/>
  <c r="Q511" i="2"/>
  <c r="P511" i="2"/>
  <c r="M511" i="2"/>
  <c r="Q486" i="2"/>
  <c r="P486" i="2"/>
  <c r="M486" i="2"/>
  <c r="Q485" i="2"/>
  <c r="P485" i="2"/>
  <c r="M485" i="2"/>
  <c r="Q484" i="2"/>
  <c r="P484" i="2"/>
  <c r="M484" i="2"/>
  <c r="Q483" i="2"/>
  <c r="P483" i="2"/>
  <c r="M483" i="2"/>
  <c r="Q482" i="2"/>
  <c r="P482" i="2"/>
  <c r="M482" i="2"/>
  <c r="Q481" i="2"/>
  <c r="P481" i="2"/>
  <c r="M481" i="2"/>
  <c r="Q480" i="2"/>
  <c r="P480" i="2"/>
  <c r="M480" i="2"/>
  <c r="Q479" i="2"/>
  <c r="P479" i="2"/>
  <c r="M479" i="2"/>
  <c r="Q473" i="2"/>
  <c r="P473" i="2"/>
  <c r="M473" i="2"/>
  <c r="Q472" i="2"/>
  <c r="P472" i="2"/>
  <c r="M472" i="2"/>
  <c r="Q471" i="2"/>
  <c r="P471" i="2"/>
  <c r="M471" i="2"/>
  <c r="Q470" i="2"/>
  <c r="P470" i="2"/>
  <c r="M470" i="2"/>
  <c r="Q469" i="2"/>
  <c r="P469" i="2"/>
  <c r="M469" i="2"/>
  <c r="Q468" i="2"/>
  <c r="P468" i="2"/>
  <c r="M468" i="2"/>
  <c r="Q467" i="2"/>
  <c r="P467" i="2"/>
  <c r="M467" i="2"/>
  <c r="Q466" i="2"/>
  <c r="P466" i="2"/>
  <c r="M466" i="2"/>
  <c r="Q465" i="2"/>
  <c r="P465" i="2"/>
  <c r="M465" i="2"/>
  <c r="Q464" i="2"/>
  <c r="P464" i="2"/>
  <c r="M464" i="2"/>
  <c r="Q463" i="2"/>
  <c r="P463" i="2"/>
  <c r="M463" i="2"/>
  <c r="Q462" i="2"/>
  <c r="P462" i="2"/>
  <c r="M462" i="2"/>
  <c r="Q461" i="2"/>
  <c r="P461" i="2"/>
  <c r="M461" i="2"/>
  <c r="Q460" i="2"/>
  <c r="P460" i="2"/>
  <c r="M460" i="2"/>
  <c r="Q459" i="2"/>
  <c r="P459" i="2"/>
  <c r="M459" i="2"/>
  <c r="Q453" i="2"/>
  <c r="P453" i="2"/>
  <c r="M453" i="2"/>
  <c r="Q452" i="2"/>
  <c r="P452" i="2"/>
  <c r="M452" i="2"/>
  <c r="Q451" i="2"/>
  <c r="P451" i="2"/>
  <c r="M451" i="2"/>
  <c r="Q450" i="2"/>
  <c r="P450" i="2"/>
  <c r="M450" i="2"/>
  <c r="Q449" i="2"/>
  <c r="P449" i="2"/>
  <c r="M449" i="2"/>
  <c r="Q441" i="2"/>
  <c r="P441" i="2"/>
  <c r="M441" i="2"/>
  <c r="Q440" i="2"/>
  <c r="P440" i="2"/>
  <c r="M440" i="2"/>
  <c r="Q439" i="2"/>
  <c r="P439" i="2"/>
  <c r="M439" i="2"/>
  <c r="Q438" i="2"/>
  <c r="P438" i="2"/>
  <c r="M438" i="2"/>
  <c r="Q437" i="2"/>
  <c r="P437" i="2"/>
  <c r="M437" i="2"/>
  <c r="Q436" i="2"/>
  <c r="P436" i="2"/>
  <c r="M436" i="2"/>
  <c r="Q435" i="2"/>
  <c r="P435" i="2"/>
  <c r="M435" i="2"/>
  <c r="Q434" i="2"/>
  <c r="P434" i="2"/>
  <c r="M434" i="2"/>
  <c r="Q428" i="2"/>
  <c r="P428" i="2"/>
  <c r="M428" i="2"/>
  <c r="Q427" i="2"/>
  <c r="P427" i="2"/>
  <c r="M427" i="2"/>
  <c r="Q426" i="2"/>
  <c r="P426" i="2"/>
  <c r="M426" i="2"/>
  <c r="Q425" i="2"/>
  <c r="P425" i="2"/>
  <c r="M425" i="2"/>
  <c r="Q424" i="2"/>
  <c r="P424" i="2"/>
  <c r="M424" i="2"/>
  <c r="Q423" i="2"/>
  <c r="P423" i="2"/>
  <c r="M423" i="2"/>
  <c r="Q422" i="2"/>
  <c r="P422" i="2"/>
  <c r="M422" i="2"/>
  <c r="Q421" i="2"/>
  <c r="P421" i="2"/>
  <c r="M421" i="2"/>
  <c r="Q420" i="2"/>
  <c r="P420" i="2"/>
  <c r="M420" i="2"/>
  <c r="Q419" i="2"/>
  <c r="P419" i="2"/>
  <c r="M419" i="2"/>
  <c r="Q418" i="2"/>
  <c r="P418" i="2"/>
  <c r="M418" i="2"/>
  <c r="Q412" i="2"/>
  <c r="P412" i="2"/>
  <c r="M412" i="2"/>
  <c r="Q411" i="2"/>
  <c r="P411" i="2"/>
  <c r="M411" i="2"/>
  <c r="Q410" i="2"/>
  <c r="P410" i="2"/>
  <c r="M410" i="2"/>
  <c r="Q409" i="2"/>
  <c r="P409" i="2"/>
  <c r="M409" i="2"/>
  <c r="Q408" i="2"/>
  <c r="P408" i="2"/>
  <c r="M408" i="2"/>
  <c r="Q407" i="2"/>
  <c r="P407" i="2"/>
  <c r="M407" i="2"/>
  <c r="Q406" i="2"/>
  <c r="P406" i="2"/>
  <c r="M406" i="2"/>
  <c r="Q405" i="2"/>
  <c r="P405" i="2"/>
  <c r="M405" i="2"/>
  <c r="Q404" i="2"/>
  <c r="P404" i="2"/>
  <c r="M404" i="2"/>
  <c r="Q403" i="2"/>
  <c r="P403" i="2"/>
  <c r="M403" i="2"/>
  <c r="Q402" i="2"/>
  <c r="P402" i="2"/>
  <c r="M402" i="2"/>
  <c r="Q401" i="2"/>
  <c r="P401" i="2"/>
  <c r="M401" i="2"/>
  <c r="Q400" i="2"/>
  <c r="P400" i="2"/>
  <c r="M400" i="2"/>
  <c r="Q399" i="2"/>
  <c r="P399" i="2"/>
  <c r="M399" i="2"/>
  <c r="Q398" i="2"/>
  <c r="P398" i="2"/>
  <c r="M398" i="2"/>
  <c r="Q397" i="2"/>
  <c r="P397" i="2"/>
  <c r="M397" i="2"/>
  <c r="Q396" i="2"/>
  <c r="P396" i="2"/>
  <c r="M396" i="2"/>
  <c r="Q395" i="2"/>
  <c r="P395" i="2"/>
  <c r="M395" i="2"/>
  <c r="Q394" i="2"/>
  <c r="P394" i="2"/>
  <c r="M394" i="2"/>
  <c r="Q393" i="2"/>
  <c r="P393" i="2"/>
  <c r="M393" i="2"/>
  <c r="Q387" i="2"/>
  <c r="P387" i="2"/>
  <c r="M387" i="2"/>
  <c r="Q386" i="2"/>
  <c r="P386" i="2"/>
  <c r="M386" i="2"/>
  <c r="Q385" i="2"/>
  <c r="P385" i="2"/>
  <c r="M385" i="2"/>
  <c r="Q384" i="2"/>
  <c r="P384" i="2"/>
  <c r="M384" i="2"/>
  <c r="Q383" i="2"/>
  <c r="P383" i="2"/>
  <c r="M383" i="2"/>
  <c r="Q382" i="2"/>
  <c r="P382" i="2"/>
  <c r="M382" i="2"/>
  <c r="Q381" i="2"/>
  <c r="P381" i="2"/>
  <c r="M381" i="2"/>
  <c r="Q380" i="2"/>
  <c r="P380" i="2"/>
  <c r="M380" i="2"/>
  <c r="Q379" i="2"/>
  <c r="P379" i="2"/>
  <c r="M379" i="2"/>
  <c r="Q378" i="2"/>
  <c r="P378" i="2"/>
  <c r="M378" i="2"/>
  <c r="Q377" i="2"/>
  <c r="P377" i="2"/>
  <c r="M377" i="2"/>
  <c r="Q376" i="2"/>
  <c r="P376" i="2"/>
  <c r="M376" i="2"/>
  <c r="Q375" i="2"/>
  <c r="P375" i="2"/>
  <c r="M375" i="2"/>
  <c r="Q374" i="2"/>
  <c r="P374" i="2"/>
  <c r="M374" i="2"/>
  <c r="Q373" i="2"/>
  <c r="P373" i="2"/>
  <c r="M373" i="2"/>
  <c r="Q372" i="2"/>
  <c r="P372" i="2"/>
  <c r="M372" i="2"/>
  <c r="Q371" i="2"/>
  <c r="P371" i="2"/>
  <c r="M371" i="2"/>
  <c r="Q370" i="2"/>
  <c r="P370" i="2"/>
  <c r="M370" i="2"/>
  <c r="Q369" i="2"/>
  <c r="P369" i="2"/>
  <c r="M369" i="2"/>
  <c r="Q368" i="2"/>
  <c r="P368" i="2"/>
  <c r="M368" i="2"/>
  <c r="Q367" i="2"/>
  <c r="P367" i="2"/>
  <c r="M367" i="2"/>
  <c r="Q366" i="2"/>
  <c r="P366" i="2"/>
  <c r="M366" i="2"/>
  <c r="Q365" i="2"/>
  <c r="P365" i="2"/>
  <c r="M365" i="2"/>
  <c r="Q364" i="2"/>
  <c r="P364" i="2"/>
  <c r="M364" i="2"/>
  <c r="Q363" i="2"/>
  <c r="P363" i="2"/>
  <c r="M363" i="2"/>
  <c r="Q362" i="2"/>
  <c r="P362" i="2"/>
  <c r="M362" i="2"/>
  <c r="Q361" i="2"/>
  <c r="P361" i="2"/>
  <c r="M361" i="2"/>
  <c r="Q355" i="2"/>
  <c r="P355" i="2"/>
  <c r="M355" i="2"/>
  <c r="Q354" i="2"/>
  <c r="P354" i="2"/>
  <c r="M354" i="2"/>
  <c r="Q353" i="2"/>
  <c r="P353" i="2"/>
  <c r="M353" i="2"/>
  <c r="Q352" i="2"/>
  <c r="P352" i="2"/>
  <c r="M352" i="2"/>
  <c r="Q351" i="2"/>
  <c r="P351" i="2"/>
  <c r="M351" i="2"/>
  <c r="Q350" i="2"/>
  <c r="P350" i="2"/>
  <c r="M350" i="2"/>
  <c r="Q349" i="2"/>
  <c r="P349" i="2"/>
  <c r="M349" i="2"/>
  <c r="Q343" i="2"/>
  <c r="P343" i="2"/>
  <c r="M343" i="2"/>
  <c r="Q342" i="2"/>
  <c r="P342" i="2"/>
  <c r="M342" i="2"/>
  <c r="K445" i="2" l="1"/>
  <c r="K540" i="2" s="1"/>
  <c r="K542" i="2" s="1"/>
  <c r="K490" i="2"/>
  <c r="I540" i="2"/>
  <c r="I542" i="2" s="1"/>
  <c r="I490" i="2"/>
  <c r="R520" i="2"/>
  <c r="B520" i="2" s="1"/>
  <c r="R528" i="2"/>
  <c r="B528" i="2" s="1"/>
  <c r="R514" i="2"/>
  <c r="B514" i="2" s="1"/>
  <c r="R518" i="2"/>
  <c r="B518" i="2" s="1"/>
  <c r="R521" i="2"/>
  <c r="B521" i="2" s="1"/>
  <c r="R525" i="2"/>
  <c r="B525" i="2" s="1"/>
  <c r="R529" i="2"/>
  <c r="B529" i="2" s="1"/>
  <c r="R512" i="2"/>
  <c r="B512" i="2" s="1"/>
  <c r="R515" i="2"/>
  <c r="B515" i="2" s="1"/>
  <c r="R519" i="2"/>
  <c r="B519" i="2" s="1"/>
  <c r="R482" i="2"/>
  <c r="B482" i="2" s="1"/>
  <c r="R486" i="2"/>
  <c r="B486" i="2" s="1"/>
  <c r="R462" i="2"/>
  <c r="B462" i="2" s="1"/>
  <c r="R466" i="2"/>
  <c r="B466" i="2" s="1"/>
  <c r="R470" i="2"/>
  <c r="B470" i="2" s="1"/>
  <c r="R523" i="2"/>
  <c r="B523" i="2" s="1"/>
  <c r="R522" i="2"/>
  <c r="B522" i="2" s="1"/>
  <c r="R526" i="2"/>
  <c r="B526" i="2" s="1"/>
  <c r="R530" i="2"/>
  <c r="B530" i="2" s="1"/>
  <c r="R511" i="2"/>
  <c r="B511" i="2" s="1"/>
  <c r="R527" i="2"/>
  <c r="B527" i="2" s="1"/>
  <c r="R516" i="2"/>
  <c r="B516" i="2" s="1"/>
  <c r="R524" i="2"/>
  <c r="B524" i="2" s="1"/>
  <c r="R513" i="2"/>
  <c r="B513" i="2" s="1"/>
  <c r="R517" i="2"/>
  <c r="B517" i="2" s="1"/>
  <c r="R459" i="2"/>
  <c r="B459" i="2" s="1"/>
  <c r="R480" i="2"/>
  <c r="B480" i="2" s="1"/>
  <c r="R484" i="2"/>
  <c r="B484" i="2" s="1"/>
  <c r="R468" i="2"/>
  <c r="B468" i="2" s="1"/>
  <c r="R481" i="2"/>
  <c r="B481" i="2" s="1"/>
  <c r="R469" i="2"/>
  <c r="B469" i="2" s="1"/>
  <c r="R465" i="2"/>
  <c r="B465" i="2" s="1"/>
  <c r="R479" i="2"/>
  <c r="B479" i="2" s="1"/>
  <c r="R483" i="2"/>
  <c r="B483" i="2" s="1"/>
  <c r="R463" i="2"/>
  <c r="B463" i="2" s="1"/>
  <c r="R467" i="2"/>
  <c r="B467" i="2" s="1"/>
  <c r="R471" i="2"/>
  <c r="B471" i="2" s="1"/>
  <c r="R460" i="2"/>
  <c r="B460" i="2" s="1"/>
  <c r="R464" i="2"/>
  <c r="B464" i="2" s="1"/>
  <c r="R485" i="2"/>
  <c r="B485" i="2" s="1"/>
  <c r="R452" i="2"/>
  <c r="B452" i="2" s="1"/>
  <c r="R449" i="2"/>
  <c r="B449" i="2" s="1"/>
  <c r="R419" i="2"/>
  <c r="B419" i="2" s="1"/>
  <c r="R423" i="2"/>
  <c r="B423" i="2" s="1"/>
  <c r="R473" i="2"/>
  <c r="B473" i="2" s="1"/>
  <c r="R461" i="2"/>
  <c r="B461" i="2" s="1"/>
  <c r="R451" i="2"/>
  <c r="B451" i="2" s="1"/>
  <c r="R472" i="2"/>
  <c r="B472" i="2" s="1"/>
  <c r="R453" i="2"/>
  <c r="B453" i="2" s="1"/>
  <c r="R436" i="2"/>
  <c r="B436" i="2" s="1"/>
  <c r="R440" i="2"/>
  <c r="B440" i="2" s="1"/>
  <c r="R450" i="2"/>
  <c r="B450" i="2" s="1"/>
  <c r="R412" i="2"/>
  <c r="B412" i="2" s="1"/>
  <c r="R437" i="2"/>
  <c r="B437" i="2" s="1"/>
  <c r="R355" i="2"/>
  <c r="B355" i="2" s="1"/>
  <c r="R364" i="2"/>
  <c r="B364" i="2" s="1"/>
  <c r="R368" i="2"/>
  <c r="B368" i="2" s="1"/>
  <c r="R372" i="2"/>
  <c r="B372" i="2" s="1"/>
  <c r="R397" i="2"/>
  <c r="B397" i="2" s="1"/>
  <c r="R401" i="2"/>
  <c r="B401" i="2" s="1"/>
  <c r="R409" i="2"/>
  <c r="B409" i="2" s="1"/>
  <c r="R421" i="2"/>
  <c r="B421" i="2" s="1"/>
  <c r="R425" i="2"/>
  <c r="B425" i="2" s="1"/>
  <c r="R434" i="2"/>
  <c r="B434" i="2" s="1"/>
  <c r="R438" i="2"/>
  <c r="B438" i="2" s="1"/>
  <c r="R361" i="2"/>
  <c r="B361" i="2" s="1"/>
  <c r="R365" i="2"/>
  <c r="B365" i="2" s="1"/>
  <c r="R369" i="2"/>
  <c r="B369" i="2" s="1"/>
  <c r="R373" i="2"/>
  <c r="B373" i="2" s="1"/>
  <c r="R398" i="2"/>
  <c r="B398" i="2" s="1"/>
  <c r="R402" i="2"/>
  <c r="B402" i="2" s="1"/>
  <c r="R410" i="2"/>
  <c r="B410" i="2" s="1"/>
  <c r="R418" i="2"/>
  <c r="B418" i="2" s="1"/>
  <c r="R422" i="2"/>
  <c r="B422" i="2" s="1"/>
  <c r="R426" i="2"/>
  <c r="B426" i="2" s="1"/>
  <c r="R439" i="2"/>
  <c r="B439" i="2" s="1"/>
  <c r="R362" i="2"/>
  <c r="B362" i="2" s="1"/>
  <c r="R370" i="2"/>
  <c r="B370" i="2" s="1"/>
  <c r="R374" i="2"/>
  <c r="B374" i="2" s="1"/>
  <c r="R382" i="2"/>
  <c r="B382" i="2" s="1"/>
  <c r="R395" i="2"/>
  <c r="B395" i="2" s="1"/>
  <c r="R399" i="2"/>
  <c r="B399" i="2" s="1"/>
  <c r="R435" i="2"/>
  <c r="B435" i="2" s="1"/>
  <c r="R379" i="2"/>
  <c r="B379" i="2" s="1"/>
  <c r="R383" i="2"/>
  <c r="B383" i="2" s="1"/>
  <c r="R396" i="2"/>
  <c r="B396" i="2" s="1"/>
  <c r="R400" i="2"/>
  <c r="B400" i="2" s="1"/>
  <c r="R424" i="2"/>
  <c r="B424" i="2" s="1"/>
  <c r="R441" i="2"/>
  <c r="B441" i="2" s="1"/>
  <c r="R393" i="2"/>
  <c r="B393" i="2" s="1"/>
  <c r="R385" i="2"/>
  <c r="B385" i="2" s="1"/>
  <c r="R394" i="2"/>
  <c r="B394" i="2" s="1"/>
  <c r="R353" i="2"/>
  <c r="B353" i="2" s="1"/>
  <c r="R405" i="2"/>
  <c r="B405" i="2" s="1"/>
  <c r="R428" i="2"/>
  <c r="B428" i="2" s="1"/>
  <c r="R408" i="2"/>
  <c r="B408" i="2" s="1"/>
  <c r="R420" i="2"/>
  <c r="B420" i="2" s="1"/>
  <c r="R427" i="2"/>
  <c r="B427" i="2" s="1"/>
  <c r="R350" i="2"/>
  <c r="B350" i="2" s="1"/>
  <c r="R406" i="2"/>
  <c r="B406" i="2" s="1"/>
  <c r="R363" i="2"/>
  <c r="B363" i="2" s="1"/>
  <c r="R403" i="2"/>
  <c r="B403" i="2" s="1"/>
  <c r="R407" i="2"/>
  <c r="B407" i="2" s="1"/>
  <c r="R342" i="2"/>
  <c r="B342" i="2" s="1"/>
  <c r="R376" i="2"/>
  <c r="B376" i="2" s="1"/>
  <c r="R380" i="2"/>
  <c r="B380" i="2" s="1"/>
  <c r="R384" i="2"/>
  <c r="B384" i="2" s="1"/>
  <c r="R411" i="2"/>
  <c r="B411" i="2" s="1"/>
  <c r="R352" i="2"/>
  <c r="B352" i="2" s="1"/>
  <c r="R404" i="2"/>
  <c r="B404" i="2" s="1"/>
  <c r="R349" i="2"/>
  <c r="B349" i="2" s="1"/>
  <c r="R387" i="2"/>
  <c r="B387" i="2" s="1"/>
  <c r="R377" i="2"/>
  <c r="B377" i="2" s="1"/>
  <c r="R381" i="2"/>
  <c r="B381" i="2" s="1"/>
  <c r="R354" i="2"/>
  <c r="B354" i="2" s="1"/>
  <c r="R366" i="2"/>
  <c r="B366" i="2" s="1"/>
  <c r="R375" i="2"/>
  <c r="B375" i="2" s="1"/>
  <c r="R378" i="2"/>
  <c r="B378" i="2" s="1"/>
  <c r="R386" i="2"/>
  <c r="B386" i="2" s="1"/>
  <c r="R351" i="2"/>
  <c r="B351" i="2" s="1"/>
  <c r="R367" i="2"/>
  <c r="B367" i="2" s="1"/>
  <c r="R371" i="2"/>
  <c r="B371" i="2" s="1"/>
  <c r="R343" i="2"/>
  <c r="B343" i="2" s="1"/>
  <c r="P759" i="2" l="1"/>
  <c r="P747" i="2"/>
  <c r="P760" i="2"/>
  <c r="P748" i="2"/>
  <c r="P761" i="2"/>
  <c r="P749" i="2"/>
  <c r="P762" i="2"/>
  <c r="P750" i="2"/>
  <c r="P763" i="2"/>
  <c r="P751" i="2"/>
  <c r="P764" i="2"/>
  <c r="P752" i="2"/>
  <c r="P740" i="2"/>
  <c r="P765" i="2"/>
  <c r="P753" i="2"/>
  <c r="P741" i="2"/>
  <c r="P766" i="2"/>
  <c r="P754" i="2"/>
  <c r="P742" i="2"/>
  <c r="P767" i="2"/>
  <c r="P755" i="2"/>
  <c r="P743" i="2"/>
  <c r="P745" i="2"/>
  <c r="P768" i="2"/>
  <c r="P756" i="2"/>
  <c r="P744" i="2"/>
  <c r="P757" i="2"/>
  <c r="P769" i="2"/>
  <c r="P758" i="2"/>
  <c r="P746" i="2"/>
  <c r="P732" i="2"/>
  <c r="P733" i="2"/>
  <c r="P734" i="2"/>
  <c r="P722" i="2"/>
  <c r="P723" i="2"/>
  <c r="P711" i="2"/>
  <c r="P699" i="2"/>
  <c r="P687" i="2"/>
  <c r="P675" i="2"/>
  <c r="P724" i="2"/>
  <c r="P712" i="2"/>
  <c r="P700" i="2"/>
  <c r="P688" i="2"/>
  <c r="P676" i="2"/>
  <c r="P677" i="2"/>
  <c r="P725" i="2"/>
  <c r="P713" i="2"/>
  <c r="P701" i="2"/>
  <c r="P689" i="2"/>
  <c r="P726" i="2"/>
  <c r="P714" i="2"/>
  <c r="P702" i="2"/>
  <c r="P690" i="2"/>
  <c r="P678" i="2"/>
  <c r="P681" i="2"/>
  <c r="P727" i="2"/>
  <c r="P715" i="2"/>
  <c r="P703" i="2"/>
  <c r="P691" i="2"/>
  <c r="P679" i="2"/>
  <c r="P667" i="2"/>
  <c r="P682" i="2"/>
  <c r="P728" i="2"/>
  <c r="P716" i="2"/>
  <c r="P704" i="2"/>
  <c r="P692" i="2"/>
  <c r="P680" i="2"/>
  <c r="P668" i="2"/>
  <c r="P669" i="2"/>
  <c r="P729" i="2"/>
  <c r="P717" i="2"/>
  <c r="P705" i="2"/>
  <c r="P693" i="2"/>
  <c r="P730" i="2"/>
  <c r="P718" i="2"/>
  <c r="P706" i="2"/>
  <c r="P694" i="2"/>
  <c r="P731" i="2"/>
  <c r="P674" i="2"/>
  <c r="P720" i="2"/>
  <c r="P708" i="2"/>
  <c r="P696" i="2"/>
  <c r="P719" i="2"/>
  <c r="P707" i="2"/>
  <c r="P695" i="2"/>
  <c r="P684" i="2"/>
  <c r="P671" i="2"/>
  <c r="P721" i="2"/>
  <c r="P672" i="2"/>
  <c r="P683" i="2"/>
  <c r="P686" i="2"/>
  <c r="P673" i="2"/>
  <c r="P710" i="2"/>
  <c r="P698" i="2"/>
  <c r="P670" i="2"/>
  <c r="P709" i="2"/>
  <c r="P697" i="2"/>
  <c r="P685" i="2"/>
  <c r="P654" i="2"/>
  <c r="P642" i="2"/>
  <c r="P655" i="2"/>
  <c r="P643" i="2"/>
  <c r="P656" i="2"/>
  <c r="P644" i="2"/>
  <c r="P632" i="2"/>
  <c r="P657" i="2"/>
  <c r="P645" i="2"/>
  <c r="P633" i="2"/>
  <c r="P658" i="2"/>
  <c r="P647" i="2"/>
  <c r="P635" i="2"/>
  <c r="P648" i="2"/>
  <c r="P636" i="2"/>
  <c r="P649" i="2"/>
  <c r="P637" i="2"/>
  <c r="P650" i="2"/>
  <c r="P638" i="2"/>
  <c r="P646" i="2"/>
  <c r="P634" i="2"/>
  <c r="P651" i="2"/>
  <c r="P639" i="2"/>
  <c r="P652" i="2"/>
  <c r="P640" i="2"/>
  <c r="P653" i="2"/>
  <c r="P641" i="2"/>
  <c r="P618" i="2"/>
  <c r="P606" i="2"/>
  <c r="P619" i="2"/>
  <c r="P607" i="2"/>
  <c r="P595" i="2"/>
  <c r="P583" i="2"/>
  <c r="P571" i="2"/>
  <c r="P559" i="2"/>
  <c r="P620" i="2"/>
  <c r="P608" i="2"/>
  <c r="P621" i="2"/>
  <c r="P609" i="2"/>
  <c r="P597" i="2"/>
  <c r="P622" i="2"/>
  <c r="P610" i="2"/>
  <c r="P598" i="2"/>
  <c r="P586" i="2"/>
  <c r="P574" i="2"/>
  <c r="P562" i="2"/>
  <c r="P550" i="2"/>
  <c r="P624" i="2"/>
  <c r="P623" i="2"/>
  <c r="P611" i="2"/>
  <c r="P599" i="2"/>
  <c r="P587" i="2"/>
  <c r="P575" i="2"/>
  <c r="P563" i="2"/>
  <c r="P551" i="2"/>
  <c r="P612" i="2"/>
  <c r="P614" i="2"/>
  <c r="P585" i="2"/>
  <c r="P569" i="2"/>
  <c r="P566" i="2"/>
  <c r="P605" i="2"/>
  <c r="P582" i="2"/>
  <c r="P579" i="2"/>
  <c r="P576" i="2"/>
  <c r="P560" i="2"/>
  <c r="P570" i="2"/>
  <c r="P567" i="2"/>
  <c r="P564" i="2"/>
  <c r="P626" i="2"/>
  <c r="P603" i="2"/>
  <c r="P592" i="2"/>
  <c r="P589" i="2"/>
  <c r="P616" i="2"/>
  <c r="P573" i="2"/>
  <c r="P557" i="2"/>
  <c r="P554" i="2"/>
  <c r="P613" i="2"/>
  <c r="P601" i="2"/>
  <c r="P580" i="2"/>
  <c r="P577" i="2"/>
  <c r="P590" i="2"/>
  <c r="P593" i="2"/>
  <c r="P568" i="2"/>
  <c r="P561" i="2"/>
  <c r="P565" i="2"/>
  <c r="P625" i="2"/>
  <c r="P617" i="2"/>
  <c r="P604" i="2"/>
  <c r="P555" i="2"/>
  <c r="P553" i="2"/>
  <c r="P584" i="2"/>
  <c r="P581" i="2"/>
  <c r="P552" i="2"/>
  <c r="P615" i="2"/>
  <c r="P600" i="2"/>
  <c r="P596" i="2"/>
  <c r="P578" i="2"/>
  <c r="P594" i="2"/>
  <c r="P591" i="2"/>
  <c r="P572" i="2"/>
  <c r="P558" i="2"/>
  <c r="P556" i="2"/>
  <c r="P602" i="2"/>
  <c r="P588" i="2"/>
  <c r="P536" i="2"/>
  <c r="P505" i="2"/>
  <c r="P499" i="2"/>
  <c r="P323" i="2"/>
  <c r="P324" i="2"/>
  <c r="P326" i="2"/>
  <c r="P325" i="2"/>
  <c r="P314" i="2"/>
  <c r="P315" i="2"/>
  <c r="P311" i="2"/>
  <c r="P316" i="2"/>
  <c r="P312" i="2"/>
  <c r="P317" i="2"/>
  <c r="P313" i="2"/>
  <c r="P302" i="2"/>
  <c r="P305" i="2"/>
  <c r="P304" i="2"/>
  <c r="P303" i="2"/>
  <c r="P294" i="2"/>
  <c r="P290" i="2"/>
  <c r="P286" i="2"/>
  <c r="P282" i="2"/>
  <c r="P278" i="2"/>
  <c r="P274" i="2"/>
  <c r="P270" i="2"/>
  <c r="P266" i="2"/>
  <c r="P262" i="2"/>
  <c r="P258" i="2"/>
  <c r="P254" i="2"/>
  <c r="P250" i="2"/>
  <c r="P295" i="2"/>
  <c r="P291" i="2"/>
  <c r="P287" i="2"/>
  <c r="P283" i="2"/>
  <c r="P279" i="2"/>
  <c r="P275" i="2"/>
  <c r="P271" i="2"/>
  <c r="P267" i="2"/>
  <c r="P263" i="2"/>
  <c r="P259" i="2"/>
  <c r="P255" i="2"/>
  <c r="P251" i="2"/>
  <c r="P296" i="2"/>
  <c r="P292" i="2"/>
  <c r="P288" i="2"/>
  <c r="P284" i="2"/>
  <c r="P280" i="2"/>
  <c r="P276" i="2"/>
  <c r="P272" i="2"/>
  <c r="P268" i="2"/>
  <c r="P264" i="2"/>
  <c r="P260" i="2"/>
  <c r="P256" i="2"/>
  <c r="P252" i="2"/>
  <c r="P293" i="2"/>
  <c r="P289" i="2"/>
  <c r="P285" i="2"/>
  <c r="P281" i="2"/>
  <c r="P277" i="2"/>
  <c r="P273" i="2"/>
  <c r="P269" i="2"/>
  <c r="P265" i="2"/>
  <c r="P261" i="2"/>
  <c r="P257" i="2"/>
  <c r="P253" i="2"/>
  <c r="P239" i="2"/>
  <c r="P241" i="2"/>
  <c r="P237" i="2"/>
  <c r="P242" i="2"/>
  <c r="P238" i="2"/>
  <c r="P244" i="2"/>
  <c r="P240" i="2"/>
  <c r="P243" i="2"/>
  <c r="P230" i="2"/>
  <c r="P231" i="2"/>
  <c r="P222" i="2"/>
  <c r="P223" i="2"/>
  <c r="P219" i="2"/>
  <c r="P221" i="2"/>
  <c r="P224" i="2"/>
  <c r="P220" i="2"/>
  <c r="P208" i="2"/>
  <c r="P204" i="2"/>
  <c r="P205" i="2"/>
  <c r="P206" i="2"/>
  <c r="P207" i="2"/>
  <c r="P189" i="2"/>
  <c r="P198" i="2"/>
  <c r="P194" i="2"/>
  <c r="P190" i="2"/>
  <c r="P186" i="2"/>
  <c r="P182" i="2"/>
  <c r="P178" i="2"/>
  <c r="P174" i="2"/>
  <c r="P197" i="2"/>
  <c r="P193" i="2"/>
  <c r="P185" i="2"/>
  <c r="P181" i="2"/>
  <c r="P195" i="2"/>
  <c r="P191" i="2"/>
  <c r="P187" i="2"/>
  <c r="P183" i="2"/>
  <c r="P179" i="2"/>
  <c r="P175" i="2"/>
  <c r="P177" i="2"/>
  <c r="P196" i="2"/>
  <c r="P192" i="2"/>
  <c r="P188" i="2"/>
  <c r="P184" i="2"/>
  <c r="P180" i="2"/>
  <c r="P176" i="2"/>
  <c r="P166" i="2"/>
  <c r="P162" i="2"/>
  <c r="P167" i="2"/>
  <c r="P163" i="2"/>
  <c r="P168" i="2"/>
  <c r="P164" i="2"/>
  <c r="P165" i="2"/>
  <c r="P156" i="2"/>
  <c r="P152" i="2"/>
  <c r="P154" i="2"/>
  <c r="P153" i="2"/>
  <c r="P155" i="2"/>
  <c r="P144" i="2"/>
  <c r="P140" i="2"/>
  <c r="P143" i="2"/>
  <c r="P145" i="2"/>
  <c r="P141" i="2"/>
  <c r="P146" i="2"/>
  <c r="P142" i="2"/>
  <c r="P125" i="2"/>
  <c r="P121" i="2"/>
  <c r="P117" i="2"/>
  <c r="P113" i="2"/>
  <c r="P105" i="2"/>
  <c r="P101" i="2"/>
  <c r="P93" i="2"/>
  <c r="P85" i="2"/>
  <c r="P77" i="2"/>
  <c r="P69" i="2"/>
  <c r="P109" i="2"/>
  <c r="P97" i="2"/>
  <c r="P89" i="2"/>
  <c r="P81" i="2"/>
  <c r="P73" i="2"/>
  <c r="P133" i="2"/>
  <c r="P129" i="2"/>
  <c r="P132" i="2"/>
  <c r="P116" i="2"/>
  <c r="P102" i="2"/>
  <c r="P98" i="2"/>
  <c r="P94" i="2"/>
  <c r="P90" i="2"/>
  <c r="P86" i="2"/>
  <c r="P82" i="2"/>
  <c r="P78" i="2"/>
  <c r="P74" i="2"/>
  <c r="P70" i="2"/>
  <c r="P120" i="2"/>
  <c r="P104" i="2"/>
  <c r="P128" i="2"/>
  <c r="P112" i="2"/>
  <c r="P118" i="2"/>
  <c r="P127" i="2"/>
  <c r="P111" i="2"/>
  <c r="P131" i="2"/>
  <c r="P115" i="2"/>
  <c r="P130" i="2"/>
  <c r="P114" i="2"/>
  <c r="P134" i="2"/>
  <c r="P122" i="2"/>
  <c r="P106" i="2"/>
  <c r="P100" i="2"/>
  <c r="P96" i="2"/>
  <c r="P92" i="2"/>
  <c r="P88" i="2"/>
  <c r="P84" i="2"/>
  <c r="P80" i="2"/>
  <c r="P76" i="2"/>
  <c r="P72" i="2"/>
  <c r="P107" i="2"/>
  <c r="P126" i="2"/>
  <c r="P110" i="2"/>
  <c r="P103" i="2"/>
  <c r="P95" i="2"/>
  <c r="P87" i="2"/>
  <c r="P83" i="2"/>
  <c r="P75" i="2"/>
  <c r="P124" i="2"/>
  <c r="P108" i="2"/>
  <c r="P119" i="2"/>
  <c r="P99" i="2"/>
  <c r="P91" i="2"/>
  <c r="P79" i="2"/>
  <c r="P71" i="2"/>
  <c r="P123" i="2"/>
  <c r="P63" i="2"/>
  <c r="P55" i="2"/>
  <c r="P54" i="2"/>
  <c r="P56" i="2"/>
  <c r="P52" i="2"/>
  <c r="P57" i="2"/>
  <c r="P53" i="2"/>
  <c r="P45" i="2"/>
  <c r="P41" i="2"/>
  <c r="P44" i="2"/>
  <c r="P46" i="2"/>
  <c r="P42" i="2"/>
  <c r="P43" i="2"/>
  <c r="P35" i="2"/>
  <c r="P25" i="2"/>
  <c r="P26" i="2"/>
  <c r="P27" i="2"/>
  <c r="P28" i="2"/>
  <c r="P29" i="2"/>
  <c r="P17" i="2"/>
  <c r="P18" i="2"/>
  <c r="P23" i="2"/>
  <c r="P30" i="2"/>
  <c r="P31" i="2"/>
  <c r="P19" i="2"/>
  <c r="P21" i="2"/>
  <c r="P24" i="2"/>
  <c r="P32" i="2"/>
  <c r="P20" i="2"/>
  <c r="P22" i="2"/>
  <c r="P33" i="2"/>
  <c r="P34" i="2"/>
  <c r="P775" i="2"/>
  <c r="P213" i="2"/>
  <c r="P236" i="2"/>
  <c r="P51" i="2"/>
  <c r="P417" i="2"/>
  <c r="P392" i="2"/>
  <c r="P498" i="2"/>
  <c r="P360" i="2"/>
  <c r="P322" i="2"/>
  <c r="P458" i="2"/>
  <c r="P40" i="2"/>
  <c r="P739" i="2"/>
  <c r="P535" i="2"/>
  <c r="P493" i="2"/>
  <c r="P229" i="2"/>
  <c r="P666" i="2"/>
  <c r="P310" i="2"/>
  <c r="P433" i="2"/>
  <c r="P331" i="2"/>
  <c r="P151" i="2"/>
  <c r="P549" i="2"/>
  <c r="P203" i="2"/>
  <c r="P139" i="2"/>
  <c r="P348" i="2"/>
  <c r="P173" i="2"/>
  <c r="P68" i="2"/>
  <c r="P478" i="2"/>
  <c r="P341" i="2"/>
  <c r="P62" i="2"/>
  <c r="P16" i="2"/>
  <c r="P218" i="2"/>
  <c r="P161" i="2"/>
  <c r="P301" i="2"/>
  <c r="P631" i="2"/>
  <c r="P504" i="2"/>
  <c r="P249" i="2"/>
  <c r="P510" i="2"/>
  <c r="P448" i="2"/>
  <c r="F777" i="2"/>
  <c r="M10" i="2"/>
  <c r="Q748" i="2" l="1"/>
  <c r="M748" i="2"/>
  <c r="Q747" i="2"/>
  <c r="M747" i="2"/>
  <c r="Q768" i="2"/>
  <c r="M768" i="2"/>
  <c r="Q766" i="2"/>
  <c r="R766" i="2" s="1"/>
  <c r="B766" i="2" s="1"/>
  <c r="M766" i="2"/>
  <c r="M751" i="2"/>
  <c r="Q751" i="2"/>
  <c r="R751" i="2" s="1"/>
  <c r="B751" i="2" s="1"/>
  <c r="R743" i="2"/>
  <c r="B743" i="2" s="1"/>
  <c r="M741" i="2"/>
  <c r="Q741" i="2"/>
  <c r="R741" i="2" s="1"/>
  <c r="B741" i="2" s="1"/>
  <c r="Q760" i="2"/>
  <c r="R760" i="2" s="1"/>
  <c r="B760" i="2" s="1"/>
  <c r="M760" i="2"/>
  <c r="Q745" i="2"/>
  <c r="R745" i="2" s="1"/>
  <c r="B745" i="2" s="1"/>
  <c r="M745" i="2"/>
  <c r="Q743" i="2"/>
  <c r="M743" i="2"/>
  <c r="M763" i="2"/>
  <c r="Q763" i="2"/>
  <c r="R763" i="2" s="1"/>
  <c r="B763" i="2" s="1"/>
  <c r="R755" i="2"/>
  <c r="B755" i="2" s="1"/>
  <c r="Q753" i="2"/>
  <c r="R753" i="2" s="1"/>
  <c r="B753" i="2" s="1"/>
  <c r="M753" i="2"/>
  <c r="R748" i="2"/>
  <c r="B748" i="2" s="1"/>
  <c r="Q757" i="2"/>
  <c r="R757" i="2" s="1"/>
  <c r="B757" i="2" s="1"/>
  <c r="M757" i="2"/>
  <c r="Q755" i="2"/>
  <c r="M755" i="2"/>
  <c r="Q750" i="2"/>
  <c r="R750" i="2" s="1"/>
  <c r="B750" i="2" s="1"/>
  <c r="M750" i="2"/>
  <c r="Q758" i="2"/>
  <c r="R758" i="2" s="1"/>
  <c r="B758" i="2" s="1"/>
  <c r="M758" i="2"/>
  <c r="Q759" i="2"/>
  <c r="R759" i="2" s="1"/>
  <c r="B759" i="2" s="1"/>
  <c r="M759" i="2"/>
  <c r="Q765" i="2"/>
  <c r="R765" i="2" s="1"/>
  <c r="B765" i="2" s="1"/>
  <c r="M765" i="2"/>
  <c r="Q769" i="2"/>
  <c r="R769" i="2" s="1"/>
  <c r="B769" i="2" s="1"/>
  <c r="M769" i="2"/>
  <c r="Q767" i="2"/>
  <c r="R767" i="2" s="1"/>
  <c r="B767" i="2" s="1"/>
  <c r="M767" i="2"/>
  <c r="M740" i="2"/>
  <c r="Q740" i="2"/>
  <c r="R740" i="2" s="1"/>
  <c r="B740" i="2" s="1"/>
  <c r="Q762" i="2"/>
  <c r="R762" i="2" s="1"/>
  <c r="B762" i="2" s="1"/>
  <c r="M762" i="2"/>
  <c r="Q746" i="2"/>
  <c r="R746" i="2" s="1"/>
  <c r="B746" i="2" s="1"/>
  <c r="M746" i="2"/>
  <c r="R747" i="2"/>
  <c r="B747" i="2" s="1"/>
  <c r="Q744" i="2"/>
  <c r="R744" i="2" s="1"/>
  <c r="B744" i="2" s="1"/>
  <c r="M744" i="2"/>
  <c r="Q742" i="2"/>
  <c r="R742" i="2" s="1"/>
  <c r="B742" i="2" s="1"/>
  <c r="M742" i="2"/>
  <c r="M752" i="2"/>
  <c r="Q752" i="2"/>
  <c r="R752" i="2" s="1"/>
  <c r="B752" i="2" s="1"/>
  <c r="Q749" i="2"/>
  <c r="R749" i="2" s="1"/>
  <c r="B749" i="2" s="1"/>
  <c r="M749" i="2"/>
  <c r="R768" i="2"/>
  <c r="B768" i="2" s="1"/>
  <c r="Q756" i="2"/>
  <c r="R756" i="2" s="1"/>
  <c r="B756" i="2" s="1"/>
  <c r="M756" i="2"/>
  <c r="Q754" i="2"/>
  <c r="R754" i="2" s="1"/>
  <c r="B754" i="2" s="1"/>
  <c r="M754" i="2"/>
  <c r="M764" i="2"/>
  <c r="Q764" i="2"/>
  <c r="R764" i="2" s="1"/>
  <c r="B764" i="2" s="1"/>
  <c r="Q761" i="2"/>
  <c r="R761" i="2" s="1"/>
  <c r="B761" i="2" s="1"/>
  <c r="M761" i="2"/>
  <c r="Q682" i="2"/>
  <c r="M682" i="2"/>
  <c r="M668" i="2"/>
  <c r="Q668" i="2"/>
  <c r="R668" i="2" s="1"/>
  <c r="B668" i="2" s="1"/>
  <c r="M691" i="2"/>
  <c r="Q691" i="2"/>
  <c r="R691" i="2" s="1"/>
  <c r="B691" i="2" s="1"/>
  <c r="Q700" i="2"/>
  <c r="R700" i="2" s="1"/>
  <c r="B700" i="2" s="1"/>
  <c r="M700" i="2"/>
  <c r="Q710" i="2"/>
  <c r="R710" i="2" s="1"/>
  <c r="B710" i="2" s="1"/>
  <c r="M710" i="2"/>
  <c r="Q733" i="2"/>
  <c r="R733" i="2" s="1"/>
  <c r="B733" i="2" s="1"/>
  <c r="M733" i="2"/>
  <c r="Q707" i="2"/>
  <c r="R707" i="2" s="1"/>
  <c r="B707" i="2" s="1"/>
  <c r="M707" i="2"/>
  <c r="Q681" i="2"/>
  <c r="R681" i="2" s="1"/>
  <c r="B681" i="2" s="1"/>
  <c r="M681" i="2"/>
  <c r="M690" i="2"/>
  <c r="Q690" i="2"/>
  <c r="R690" i="2" s="1"/>
  <c r="B690" i="2" s="1"/>
  <c r="M701" i="2"/>
  <c r="Q701" i="2"/>
  <c r="R701" i="2" s="1"/>
  <c r="B701" i="2" s="1"/>
  <c r="Q698" i="2"/>
  <c r="R698" i="2" s="1"/>
  <c r="B698" i="2" s="1"/>
  <c r="M698" i="2"/>
  <c r="Q694" i="2"/>
  <c r="R694" i="2" s="1"/>
  <c r="B694" i="2" s="1"/>
  <c r="M694" i="2"/>
  <c r="M680" i="2"/>
  <c r="Q680" i="2"/>
  <c r="R680" i="2" s="1"/>
  <c r="B680" i="2" s="1"/>
  <c r="M703" i="2"/>
  <c r="Q703" i="2"/>
  <c r="Q712" i="2"/>
  <c r="R712" i="2" s="1"/>
  <c r="B712" i="2" s="1"/>
  <c r="M712" i="2"/>
  <c r="Q723" i="2"/>
  <c r="R723" i="2" s="1"/>
  <c r="B723" i="2" s="1"/>
  <c r="M723" i="2"/>
  <c r="Q696" i="2"/>
  <c r="R696" i="2" s="1"/>
  <c r="B696" i="2" s="1"/>
  <c r="M696" i="2"/>
  <c r="Q719" i="2"/>
  <c r="R719" i="2" s="1"/>
  <c r="B719" i="2" s="1"/>
  <c r="M719" i="2"/>
  <c r="Q693" i="2"/>
  <c r="M693" i="2"/>
  <c r="M702" i="2"/>
  <c r="Q702" i="2"/>
  <c r="R702" i="2" s="1"/>
  <c r="B702" i="2" s="1"/>
  <c r="M713" i="2"/>
  <c r="Q713" i="2"/>
  <c r="R713" i="2" s="1"/>
  <c r="B713" i="2" s="1"/>
  <c r="Q675" i="2"/>
  <c r="R675" i="2" s="1"/>
  <c r="B675" i="2" s="1"/>
  <c r="M675" i="2"/>
  <c r="Q721" i="2"/>
  <c r="R721" i="2" s="1"/>
  <c r="B721" i="2" s="1"/>
  <c r="M721" i="2"/>
  <c r="M685" i="2"/>
  <c r="Q685" i="2"/>
  <c r="R685" i="2" s="1"/>
  <c r="B685" i="2" s="1"/>
  <c r="Q674" i="2"/>
  <c r="R674" i="2" s="1"/>
  <c r="B674" i="2" s="1"/>
  <c r="M674" i="2"/>
  <c r="Q676" i="2"/>
  <c r="R676" i="2" s="1"/>
  <c r="B676" i="2" s="1"/>
  <c r="M676" i="2"/>
  <c r="Q706" i="2"/>
  <c r="R706" i="2" s="1"/>
  <c r="B706" i="2" s="1"/>
  <c r="M706" i="2"/>
  <c r="R703" i="2"/>
  <c r="B703" i="2" s="1"/>
  <c r="M692" i="2"/>
  <c r="Q692" i="2"/>
  <c r="R692" i="2" s="1"/>
  <c r="B692" i="2" s="1"/>
  <c r="M715" i="2"/>
  <c r="Q715" i="2"/>
  <c r="R715" i="2" s="1"/>
  <c r="B715" i="2" s="1"/>
  <c r="Q697" i="2"/>
  <c r="R697" i="2" s="1"/>
  <c r="B697" i="2" s="1"/>
  <c r="M697" i="2"/>
  <c r="Q708" i="2"/>
  <c r="R708" i="2" s="1"/>
  <c r="B708" i="2" s="1"/>
  <c r="M708" i="2"/>
  <c r="Q731" i="2"/>
  <c r="R731" i="2" s="1"/>
  <c r="B731" i="2" s="1"/>
  <c r="M731" i="2"/>
  <c r="Q705" i="2"/>
  <c r="R705" i="2" s="1"/>
  <c r="B705" i="2" s="1"/>
  <c r="M705" i="2"/>
  <c r="M714" i="2"/>
  <c r="Q714" i="2"/>
  <c r="Q725" i="2"/>
  <c r="R725" i="2" s="1"/>
  <c r="B725" i="2" s="1"/>
  <c r="M725" i="2"/>
  <c r="Q688" i="2"/>
  <c r="R688" i="2" s="1"/>
  <c r="B688" i="2" s="1"/>
  <c r="M688" i="2"/>
  <c r="Q673" i="2"/>
  <c r="R673" i="2" s="1"/>
  <c r="B673" i="2" s="1"/>
  <c r="M673" i="2"/>
  <c r="Q684" i="2"/>
  <c r="R684" i="2" s="1"/>
  <c r="B684" i="2" s="1"/>
  <c r="M684" i="2"/>
  <c r="Q718" i="2"/>
  <c r="R718" i="2" s="1"/>
  <c r="B718" i="2" s="1"/>
  <c r="M718" i="2"/>
  <c r="M704" i="2"/>
  <c r="Q704" i="2"/>
  <c r="R704" i="2" s="1"/>
  <c r="B704" i="2" s="1"/>
  <c r="M727" i="2"/>
  <c r="Q727" i="2"/>
  <c r="R727" i="2" s="1"/>
  <c r="B727" i="2" s="1"/>
  <c r="Q709" i="2"/>
  <c r="R709" i="2" s="1"/>
  <c r="B709" i="2" s="1"/>
  <c r="M709" i="2"/>
  <c r="Q722" i="2"/>
  <c r="R722" i="2" s="1"/>
  <c r="B722" i="2" s="1"/>
  <c r="M722" i="2"/>
  <c r="Q720" i="2"/>
  <c r="R720" i="2" s="1"/>
  <c r="B720" i="2" s="1"/>
  <c r="M720" i="2"/>
  <c r="Q717" i="2"/>
  <c r="R717" i="2" s="1"/>
  <c r="B717" i="2" s="1"/>
  <c r="M717" i="2"/>
  <c r="R714" i="2"/>
  <c r="B714" i="2" s="1"/>
  <c r="Q667" i="2"/>
  <c r="R667" i="2" s="1"/>
  <c r="B667" i="2" s="1"/>
  <c r="M667" i="2"/>
  <c r="M726" i="2"/>
  <c r="Q726" i="2"/>
  <c r="R726" i="2" s="1"/>
  <c r="B726" i="2" s="1"/>
  <c r="Q724" i="2"/>
  <c r="R724" i="2" s="1"/>
  <c r="B724" i="2" s="1"/>
  <c r="M724" i="2"/>
  <c r="Q672" i="2"/>
  <c r="R672" i="2" s="1"/>
  <c r="B672" i="2" s="1"/>
  <c r="M672" i="2"/>
  <c r="Q671" i="2"/>
  <c r="R671" i="2" s="1"/>
  <c r="B671" i="2" s="1"/>
  <c r="M671" i="2"/>
  <c r="Q730" i="2"/>
  <c r="R730" i="2" s="1"/>
  <c r="B730" i="2" s="1"/>
  <c r="M730" i="2"/>
  <c r="M716" i="2"/>
  <c r="Q716" i="2"/>
  <c r="R716" i="2" s="1"/>
  <c r="B716" i="2" s="1"/>
  <c r="Q686" i="2"/>
  <c r="M686" i="2"/>
  <c r="Q687" i="2"/>
  <c r="R687" i="2" s="1"/>
  <c r="B687" i="2" s="1"/>
  <c r="M687" i="2"/>
  <c r="Q732" i="2"/>
  <c r="R732" i="2" s="1"/>
  <c r="B732" i="2" s="1"/>
  <c r="M732" i="2"/>
  <c r="R682" i="2"/>
  <c r="B682" i="2" s="1"/>
  <c r="Q729" i="2"/>
  <c r="R729" i="2" s="1"/>
  <c r="B729" i="2" s="1"/>
  <c r="M729" i="2"/>
  <c r="M679" i="2"/>
  <c r="Q679" i="2"/>
  <c r="R679" i="2" s="1"/>
  <c r="B679" i="2" s="1"/>
  <c r="M677" i="2"/>
  <c r="Q677" i="2"/>
  <c r="R677" i="2" s="1"/>
  <c r="B677" i="2" s="1"/>
  <c r="Q699" i="2"/>
  <c r="R699" i="2" s="1"/>
  <c r="B699" i="2" s="1"/>
  <c r="M699" i="2"/>
  <c r="R693" i="2"/>
  <c r="B693" i="2" s="1"/>
  <c r="Q670" i="2"/>
  <c r="R670" i="2" s="1"/>
  <c r="B670" i="2" s="1"/>
  <c r="M670" i="2"/>
  <c r="Q728" i="2"/>
  <c r="R728" i="2" s="1"/>
  <c r="B728" i="2" s="1"/>
  <c r="M728" i="2"/>
  <c r="R686" i="2"/>
  <c r="B686" i="2" s="1"/>
  <c r="Q711" i="2"/>
  <c r="R711" i="2" s="1"/>
  <c r="B711" i="2" s="1"/>
  <c r="M711" i="2"/>
  <c r="Q695" i="2"/>
  <c r="R695" i="2" s="1"/>
  <c r="B695" i="2" s="1"/>
  <c r="M695" i="2"/>
  <c r="M669" i="2"/>
  <c r="Q669" i="2"/>
  <c r="R669" i="2" s="1"/>
  <c r="B669" i="2" s="1"/>
  <c r="Q683" i="2"/>
  <c r="R683" i="2" s="1"/>
  <c r="B683" i="2" s="1"/>
  <c r="M683" i="2"/>
  <c r="Q678" i="2"/>
  <c r="R678" i="2" s="1"/>
  <c r="B678" i="2" s="1"/>
  <c r="M678" i="2"/>
  <c r="M689" i="2"/>
  <c r="Q689" i="2"/>
  <c r="R689" i="2" s="1"/>
  <c r="B689" i="2" s="1"/>
  <c r="Q734" i="2"/>
  <c r="R734" i="2" s="1"/>
  <c r="B734" i="2" s="1"/>
  <c r="M734" i="2"/>
  <c r="Q652" i="2"/>
  <c r="R652" i="2" s="1"/>
  <c r="B652" i="2" s="1"/>
  <c r="M652" i="2"/>
  <c r="Q649" i="2"/>
  <c r="M649" i="2"/>
  <c r="M658" i="2"/>
  <c r="Q658" i="2"/>
  <c r="R658" i="2" s="1"/>
  <c r="B658" i="2" s="1"/>
  <c r="Q648" i="2"/>
  <c r="R648" i="2" s="1"/>
  <c r="B648" i="2" s="1"/>
  <c r="M648" i="2"/>
  <c r="Q639" i="2"/>
  <c r="R639" i="2" s="1"/>
  <c r="B639" i="2" s="1"/>
  <c r="M639" i="2"/>
  <c r="Q633" i="2"/>
  <c r="R633" i="2" s="1"/>
  <c r="B633" i="2" s="1"/>
  <c r="M633" i="2"/>
  <c r="Q654" i="2"/>
  <c r="R654" i="2" s="1"/>
  <c r="B654" i="2" s="1"/>
  <c r="M654" i="2"/>
  <c r="Q641" i="2"/>
  <c r="R641" i="2" s="1"/>
  <c r="B641" i="2" s="1"/>
  <c r="M641" i="2"/>
  <c r="R649" i="2"/>
  <c r="B649" i="2" s="1"/>
  <c r="M635" i="2"/>
  <c r="Q635" i="2"/>
  <c r="R635" i="2" s="1"/>
  <c r="B635" i="2" s="1"/>
  <c r="Q651" i="2"/>
  <c r="R651" i="2" s="1"/>
  <c r="B651" i="2" s="1"/>
  <c r="M651" i="2"/>
  <c r="Q645" i="2"/>
  <c r="R645" i="2" s="1"/>
  <c r="B645" i="2" s="1"/>
  <c r="M645" i="2"/>
  <c r="Q653" i="2"/>
  <c r="R653" i="2" s="1"/>
  <c r="B653" i="2" s="1"/>
  <c r="M653" i="2"/>
  <c r="M647" i="2"/>
  <c r="Q647" i="2"/>
  <c r="R647" i="2" s="1"/>
  <c r="B647" i="2" s="1"/>
  <c r="Q638" i="2"/>
  <c r="R638" i="2" s="1"/>
  <c r="B638" i="2" s="1"/>
  <c r="M638" i="2"/>
  <c r="Q657" i="2"/>
  <c r="R657" i="2" s="1"/>
  <c r="B657" i="2" s="1"/>
  <c r="M657" i="2"/>
  <c r="Q643" i="2"/>
  <c r="R643" i="2" s="1"/>
  <c r="B643" i="2" s="1"/>
  <c r="M643" i="2"/>
  <c r="Q636" i="2"/>
  <c r="R636" i="2" s="1"/>
  <c r="B636" i="2" s="1"/>
  <c r="M636" i="2"/>
  <c r="Q632" i="2"/>
  <c r="R632" i="2" s="1"/>
  <c r="B632" i="2" s="1"/>
  <c r="M632" i="2"/>
  <c r="M650" i="2"/>
  <c r="Q650" i="2"/>
  <c r="R650" i="2" s="1"/>
  <c r="B650" i="2" s="1"/>
  <c r="M634" i="2"/>
  <c r="Q634" i="2"/>
  <c r="R634" i="2" s="1"/>
  <c r="B634" i="2" s="1"/>
  <c r="Q655" i="2"/>
  <c r="R655" i="2" s="1"/>
  <c r="B655" i="2" s="1"/>
  <c r="M655" i="2"/>
  <c r="Q644" i="2"/>
  <c r="R644" i="2" s="1"/>
  <c r="B644" i="2" s="1"/>
  <c r="M644" i="2"/>
  <c r="M640" i="2"/>
  <c r="Q640" i="2"/>
  <c r="R640" i="2" s="1"/>
  <c r="B640" i="2" s="1"/>
  <c r="Q637" i="2"/>
  <c r="R637" i="2" s="1"/>
  <c r="B637" i="2" s="1"/>
  <c r="M637" i="2"/>
  <c r="M646" i="2"/>
  <c r="Q646" i="2"/>
  <c r="R646" i="2" s="1"/>
  <c r="B646" i="2" s="1"/>
  <c r="Q642" i="2"/>
  <c r="R642" i="2" s="1"/>
  <c r="B642" i="2" s="1"/>
  <c r="M642" i="2"/>
  <c r="Q656" i="2"/>
  <c r="R656" i="2" s="1"/>
  <c r="B656" i="2" s="1"/>
  <c r="M656" i="2"/>
  <c r="Q569" i="2"/>
  <c r="R569" i="2" s="1"/>
  <c r="B569" i="2" s="1"/>
  <c r="M569" i="2"/>
  <c r="Q556" i="2"/>
  <c r="R556" i="2" s="1"/>
  <c r="B556" i="2" s="1"/>
  <c r="M556" i="2"/>
  <c r="Q582" i="2"/>
  <c r="R582" i="2" s="1"/>
  <c r="B582" i="2" s="1"/>
  <c r="M582" i="2"/>
  <c r="M598" i="2"/>
  <c r="Q598" i="2"/>
  <c r="R598" i="2" s="1"/>
  <c r="B598" i="2" s="1"/>
  <c r="Q560" i="2"/>
  <c r="R560" i="2" s="1"/>
  <c r="B560" i="2" s="1"/>
  <c r="M560" i="2"/>
  <c r="Q603" i="2"/>
  <c r="R603" i="2" s="1"/>
  <c r="B603" i="2" s="1"/>
  <c r="M603" i="2"/>
  <c r="Q601" i="2"/>
  <c r="R601" i="2" s="1"/>
  <c r="B601" i="2" s="1"/>
  <c r="M601" i="2"/>
  <c r="Q550" i="2"/>
  <c r="R550" i="2" s="1"/>
  <c r="B550" i="2" s="1"/>
  <c r="M550" i="2"/>
  <c r="Q558" i="2"/>
  <c r="R558" i="2" s="1"/>
  <c r="B558" i="2" s="1"/>
  <c r="M558" i="2"/>
  <c r="Q618" i="2"/>
  <c r="R618" i="2" s="1"/>
  <c r="B618" i="2" s="1"/>
  <c r="M618" i="2"/>
  <c r="Q576" i="2"/>
  <c r="R576" i="2" s="1"/>
  <c r="B576" i="2" s="1"/>
  <c r="M576" i="2"/>
  <c r="M611" i="2"/>
  <c r="Q611" i="2"/>
  <c r="R611" i="2" s="1"/>
  <c r="B611" i="2" s="1"/>
  <c r="Q585" i="2"/>
  <c r="R585" i="2" s="1"/>
  <c r="B585" i="2" s="1"/>
  <c r="M585" i="2"/>
  <c r="Q594" i="2"/>
  <c r="R594" i="2" s="1"/>
  <c r="B594" i="2" s="1"/>
  <c r="M594" i="2"/>
  <c r="Q605" i="2"/>
  <c r="R605" i="2" s="1"/>
  <c r="B605" i="2" s="1"/>
  <c r="M605" i="2"/>
  <c r="M551" i="2"/>
  <c r="Q551" i="2"/>
  <c r="R551" i="2" s="1"/>
  <c r="B551" i="2" s="1"/>
  <c r="Q613" i="2"/>
  <c r="R613" i="2" s="1"/>
  <c r="B613" i="2" s="1"/>
  <c r="M613" i="2"/>
  <c r="Q568" i="2"/>
  <c r="R568" i="2" s="1"/>
  <c r="B568" i="2" s="1"/>
  <c r="M568" i="2"/>
  <c r="M575" i="2"/>
  <c r="Q575" i="2"/>
  <c r="R575" i="2" s="1"/>
  <c r="B575" i="2" s="1"/>
  <c r="M578" i="2"/>
  <c r="Q578" i="2"/>
  <c r="R578" i="2" s="1"/>
  <c r="B578" i="2" s="1"/>
  <c r="Q617" i="2"/>
  <c r="R617" i="2" s="1"/>
  <c r="B617" i="2" s="1"/>
  <c r="M617" i="2"/>
  <c r="Q588" i="2"/>
  <c r="R588" i="2" s="1"/>
  <c r="B588" i="2" s="1"/>
  <c r="M588" i="2"/>
  <c r="M623" i="2"/>
  <c r="Q623" i="2"/>
  <c r="R623" i="2" s="1"/>
  <c r="B623" i="2" s="1"/>
  <c r="M597" i="2"/>
  <c r="Q597" i="2"/>
  <c r="R597" i="2" s="1"/>
  <c r="B597" i="2" s="1"/>
  <c r="Q562" i="2"/>
  <c r="R562" i="2" s="1"/>
  <c r="B562" i="2" s="1"/>
  <c r="M562" i="2"/>
  <c r="Q607" i="2"/>
  <c r="R607" i="2" s="1"/>
  <c r="B607" i="2" s="1"/>
  <c r="M607" i="2"/>
  <c r="Q559" i="2"/>
  <c r="R559" i="2" s="1"/>
  <c r="B559" i="2" s="1"/>
  <c r="M559" i="2"/>
  <c r="Q574" i="2"/>
  <c r="R574" i="2" s="1"/>
  <c r="B574" i="2" s="1"/>
  <c r="M574" i="2"/>
  <c r="Q553" i="2"/>
  <c r="R553" i="2" s="1"/>
  <c r="B553" i="2" s="1"/>
  <c r="M553" i="2"/>
  <c r="Q625" i="2"/>
  <c r="R625" i="2" s="1"/>
  <c r="B625" i="2" s="1"/>
  <c r="M625" i="2"/>
  <c r="M602" i="2"/>
  <c r="Q602" i="2"/>
  <c r="R602" i="2" s="1"/>
  <c r="B602" i="2" s="1"/>
  <c r="Q572" i="2"/>
  <c r="R572" i="2" s="1"/>
  <c r="B572" i="2" s="1"/>
  <c r="M572" i="2"/>
  <c r="Q615" i="2"/>
  <c r="R615" i="2" s="1"/>
  <c r="B615" i="2" s="1"/>
  <c r="M615" i="2"/>
  <c r="Q616" i="2"/>
  <c r="R616" i="2" s="1"/>
  <c r="B616" i="2" s="1"/>
  <c r="M616" i="2"/>
  <c r="Q614" i="2"/>
  <c r="R614" i="2" s="1"/>
  <c r="B614" i="2" s="1"/>
  <c r="M614" i="2"/>
  <c r="Q600" i="2"/>
  <c r="R600" i="2" s="1"/>
  <c r="B600" i="2" s="1"/>
  <c r="M600" i="2"/>
  <c r="M610" i="2"/>
  <c r="Q610" i="2"/>
  <c r="R610" i="2" s="1"/>
  <c r="B610" i="2" s="1"/>
  <c r="Q609" i="2"/>
  <c r="R609" i="2" s="1"/>
  <c r="B609" i="2" s="1"/>
  <c r="M609" i="2"/>
  <c r="M591" i="2"/>
  <c r="Q591" i="2"/>
  <c r="R591" i="2" s="1"/>
  <c r="B591" i="2" s="1"/>
  <c r="Q581" i="2"/>
  <c r="R581" i="2" s="1"/>
  <c r="B581" i="2" s="1"/>
  <c r="M581" i="2"/>
  <c r="Q580" i="2"/>
  <c r="R580" i="2" s="1"/>
  <c r="B580" i="2" s="1"/>
  <c r="M580" i="2"/>
  <c r="M590" i="2"/>
  <c r="Q590" i="2"/>
  <c r="R590" i="2" s="1"/>
  <c r="B590" i="2" s="1"/>
  <c r="M563" i="2"/>
  <c r="Q563" i="2"/>
  <c r="R563" i="2" s="1"/>
  <c r="B563" i="2" s="1"/>
  <c r="Q565" i="2"/>
  <c r="R565" i="2" s="1"/>
  <c r="B565" i="2" s="1"/>
  <c r="M565" i="2"/>
  <c r="Q571" i="2"/>
  <c r="R571" i="2" s="1"/>
  <c r="B571" i="2" s="1"/>
  <c r="M571" i="2"/>
  <c r="M579" i="2"/>
  <c r="Q579" i="2"/>
  <c r="R579" i="2" s="1"/>
  <c r="B579" i="2" s="1"/>
  <c r="Q596" i="2"/>
  <c r="R596" i="2" s="1"/>
  <c r="B596" i="2" s="1"/>
  <c r="M596" i="2"/>
  <c r="M583" i="2"/>
  <c r="Q583" i="2"/>
  <c r="R583" i="2" s="1"/>
  <c r="B583" i="2" s="1"/>
  <c r="Q626" i="2"/>
  <c r="R626" i="2" s="1"/>
  <c r="B626" i="2" s="1"/>
  <c r="M626" i="2"/>
  <c r="Q612" i="2"/>
  <c r="R612" i="2" s="1"/>
  <c r="B612" i="2" s="1"/>
  <c r="M612" i="2"/>
  <c r="M622" i="2"/>
  <c r="Q622" i="2"/>
  <c r="R622" i="2" s="1"/>
  <c r="B622" i="2" s="1"/>
  <c r="M621" i="2"/>
  <c r="Q621" i="2"/>
  <c r="R621" i="2" s="1"/>
  <c r="B621" i="2" s="1"/>
  <c r="M587" i="2"/>
  <c r="Q587" i="2"/>
  <c r="R587" i="2" s="1"/>
  <c r="B587" i="2" s="1"/>
  <c r="Q604" i="2"/>
  <c r="R604" i="2" s="1"/>
  <c r="B604" i="2" s="1"/>
  <c r="M604" i="2"/>
  <c r="M567" i="2"/>
  <c r="Q567" i="2"/>
  <c r="R567" i="2" s="1"/>
  <c r="B567" i="2" s="1"/>
  <c r="Q577" i="2"/>
  <c r="R577" i="2" s="1"/>
  <c r="B577" i="2" s="1"/>
  <c r="M577" i="2"/>
  <c r="M566" i="2"/>
  <c r="Q566" i="2"/>
  <c r="R566" i="2" s="1"/>
  <c r="B566" i="2" s="1"/>
  <c r="Q606" i="2"/>
  <c r="R606" i="2" s="1"/>
  <c r="B606" i="2" s="1"/>
  <c r="M606" i="2"/>
  <c r="M586" i="2"/>
  <c r="Q586" i="2"/>
  <c r="R586" i="2" s="1"/>
  <c r="B586" i="2" s="1"/>
  <c r="M570" i="2"/>
  <c r="Q570" i="2"/>
  <c r="R570" i="2" s="1"/>
  <c r="B570" i="2" s="1"/>
  <c r="Q552" i="2"/>
  <c r="R552" i="2" s="1"/>
  <c r="B552" i="2" s="1"/>
  <c r="M552" i="2"/>
  <c r="Q624" i="2"/>
  <c r="R624" i="2" s="1"/>
  <c r="B624" i="2" s="1"/>
  <c r="M624" i="2"/>
  <c r="Q561" i="2"/>
  <c r="R561" i="2" s="1"/>
  <c r="B561" i="2" s="1"/>
  <c r="M561" i="2"/>
  <c r="Q608" i="2"/>
  <c r="R608" i="2" s="1"/>
  <c r="B608" i="2" s="1"/>
  <c r="M608" i="2"/>
  <c r="Q593" i="2"/>
  <c r="R593" i="2" s="1"/>
  <c r="B593" i="2" s="1"/>
  <c r="M593" i="2"/>
  <c r="M554" i="2"/>
  <c r="Q554" i="2"/>
  <c r="R554" i="2" s="1"/>
  <c r="B554" i="2" s="1"/>
  <c r="Q592" i="2"/>
  <c r="R592" i="2" s="1"/>
  <c r="B592" i="2" s="1"/>
  <c r="M592" i="2"/>
  <c r="Q589" i="2"/>
  <c r="R589" i="2" s="1"/>
  <c r="B589" i="2" s="1"/>
  <c r="M589" i="2"/>
  <c r="Q619" i="2"/>
  <c r="R619" i="2" s="1"/>
  <c r="B619" i="2" s="1"/>
  <c r="M619" i="2"/>
  <c r="Q584" i="2"/>
  <c r="R584" i="2" s="1"/>
  <c r="B584" i="2" s="1"/>
  <c r="M584" i="2"/>
  <c r="M555" i="2"/>
  <c r="Q555" i="2"/>
  <c r="R555" i="2" s="1"/>
  <c r="B555" i="2" s="1"/>
  <c r="Q557" i="2"/>
  <c r="R557" i="2" s="1"/>
  <c r="B557" i="2" s="1"/>
  <c r="M557" i="2"/>
  <c r="M595" i="2"/>
  <c r="Q595" i="2"/>
  <c r="R595" i="2" s="1"/>
  <c r="B595" i="2" s="1"/>
  <c r="Q564" i="2"/>
  <c r="R564" i="2" s="1"/>
  <c r="B564" i="2" s="1"/>
  <c r="M564" i="2"/>
  <c r="M599" i="2"/>
  <c r="Q599" i="2"/>
  <c r="R599" i="2" s="1"/>
  <c r="B599" i="2" s="1"/>
  <c r="M573" i="2"/>
  <c r="Q573" i="2"/>
  <c r="R573" i="2" s="1"/>
  <c r="B573" i="2" s="1"/>
  <c r="Q620" i="2"/>
  <c r="R620" i="2" s="1"/>
  <c r="B620" i="2" s="1"/>
  <c r="M620" i="2"/>
  <c r="Q536" i="2"/>
  <c r="R536" i="2" s="1"/>
  <c r="B536" i="2" s="1"/>
  <c r="M536" i="2"/>
  <c r="Q505" i="2"/>
  <c r="R505" i="2" s="1"/>
  <c r="B505" i="2" s="1"/>
  <c r="M505" i="2"/>
  <c r="Q499" i="2"/>
  <c r="R499" i="2" s="1"/>
  <c r="B499" i="2" s="1"/>
  <c r="M499" i="2"/>
  <c r="Q326" i="2"/>
  <c r="R326" i="2" s="1"/>
  <c r="B326" i="2" s="1"/>
  <c r="M326" i="2"/>
  <c r="Q325" i="2"/>
  <c r="R325" i="2" s="1"/>
  <c r="B325" i="2" s="1"/>
  <c r="M325" i="2"/>
  <c r="M324" i="2"/>
  <c r="Q324" i="2"/>
  <c r="R324" i="2" s="1"/>
  <c r="B324" i="2" s="1"/>
  <c r="M323" i="2"/>
  <c r="Q323" i="2"/>
  <c r="R323" i="2" s="1"/>
  <c r="B323" i="2" s="1"/>
  <c r="M313" i="2"/>
  <c r="Q313" i="2"/>
  <c r="R313" i="2" s="1"/>
  <c r="B313" i="2" s="1"/>
  <c r="M317" i="2"/>
  <c r="Q317" i="2"/>
  <c r="R317" i="2" s="1"/>
  <c r="B317" i="2" s="1"/>
  <c r="M312" i="2"/>
  <c r="Q312" i="2"/>
  <c r="R312" i="2" s="1"/>
  <c r="B312" i="2" s="1"/>
  <c r="M316" i="2"/>
  <c r="Q316" i="2"/>
  <c r="R316" i="2" s="1"/>
  <c r="B316" i="2" s="1"/>
  <c r="Q314" i="2"/>
  <c r="R314" i="2" s="1"/>
  <c r="B314" i="2" s="1"/>
  <c r="M314" i="2"/>
  <c r="Q311" i="2"/>
  <c r="R311" i="2" s="1"/>
  <c r="B311" i="2" s="1"/>
  <c r="M311" i="2"/>
  <c r="Q315" i="2"/>
  <c r="R315" i="2" s="1"/>
  <c r="B315" i="2" s="1"/>
  <c r="M315" i="2"/>
  <c r="Q304" i="2"/>
  <c r="R304" i="2" s="1"/>
  <c r="B304" i="2" s="1"/>
  <c r="M304" i="2"/>
  <c r="Q305" i="2"/>
  <c r="R305" i="2" s="1"/>
  <c r="B305" i="2" s="1"/>
  <c r="M305" i="2"/>
  <c r="M303" i="2"/>
  <c r="Q303" i="2"/>
  <c r="R303" i="2" s="1"/>
  <c r="B303" i="2" s="1"/>
  <c r="Q302" i="2"/>
  <c r="R302" i="2" s="1"/>
  <c r="B302" i="2" s="1"/>
  <c r="M302" i="2"/>
  <c r="Q252" i="2"/>
  <c r="R252" i="2" s="1"/>
  <c r="B252" i="2" s="1"/>
  <c r="M252" i="2"/>
  <c r="M251" i="2"/>
  <c r="Q251" i="2"/>
  <c r="R251" i="2" s="1"/>
  <c r="B251" i="2" s="1"/>
  <c r="Q250" i="2"/>
  <c r="R250" i="2" s="1"/>
  <c r="B250" i="2" s="1"/>
  <c r="M250" i="2"/>
  <c r="Q253" i="2"/>
  <c r="R253" i="2" s="1"/>
  <c r="B253" i="2" s="1"/>
  <c r="M253" i="2"/>
  <c r="Q256" i="2"/>
  <c r="R256" i="2" s="1"/>
  <c r="B256" i="2" s="1"/>
  <c r="M256" i="2"/>
  <c r="M255" i="2"/>
  <c r="Q255" i="2"/>
  <c r="R255" i="2" s="1"/>
  <c r="B255" i="2" s="1"/>
  <c r="Q254" i="2"/>
  <c r="R254" i="2" s="1"/>
  <c r="B254" i="2" s="1"/>
  <c r="M254" i="2"/>
  <c r="Q257" i="2"/>
  <c r="R257" i="2" s="1"/>
  <c r="B257" i="2" s="1"/>
  <c r="M257" i="2"/>
  <c r="Q260" i="2"/>
  <c r="R260" i="2" s="1"/>
  <c r="B260" i="2" s="1"/>
  <c r="M260" i="2"/>
  <c r="M259" i="2"/>
  <c r="Q259" i="2"/>
  <c r="R259" i="2" s="1"/>
  <c r="B259" i="2" s="1"/>
  <c r="Q258" i="2"/>
  <c r="R258" i="2" s="1"/>
  <c r="B258" i="2" s="1"/>
  <c r="M258" i="2"/>
  <c r="Q261" i="2"/>
  <c r="R261" i="2" s="1"/>
  <c r="B261" i="2" s="1"/>
  <c r="M261" i="2"/>
  <c r="Q264" i="2"/>
  <c r="R264" i="2" s="1"/>
  <c r="B264" i="2" s="1"/>
  <c r="M264" i="2"/>
  <c r="M263" i="2"/>
  <c r="Q263" i="2"/>
  <c r="R263" i="2" s="1"/>
  <c r="B263" i="2" s="1"/>
  <c r="Q262" i="2"/>
  <c r="R262" i="2" s="1"/>
  <c r="B262" i="2" s="1"/>
  <c r="M262" i="2"/>
  <c r="Q265" i="2"/>
  <c r="R265" i="2" s="1"/>
  <c r="B265" i="2" s="1"/>
  <c r="M265" i="2"/>
  <c r="Q268" i="2"/>
  <c r="R268" i="2" s="1"/>
  <c r="B268" i="2" s="1"/>
  <c r="M268" i="2"/>
  <c r="M267" i="2"/>
  <c r="Q267" i="2"/>
  <c r="R267" i="2" s="1"/>
  <c r="B267" i="2" s="1"/>
  <c r="Q266" i="2"/>
  <c r="R266" i="2" s="1"/>
  <c r="B266" i="2" s="1"/>
  <c r="M266" i="2"/>
  <c r="Q269" i="2"/>
  <c r="R269" i="2" s="1"/>
  <c r="B269" i="2" s="1"/>
  <c r="M269" i="2"/>
  <c r="Q272" i="2"/>
  <c r="R272" i="2" s="1"/>
  <c r="B272" i="2" s="1"/>
  <c r="M272" i="2"/>
  <c r="M271" i="2"/>
  <c r="Q271" i="2"/>
  <c r="R271" i="2" s="1"/>
  <c r="B271" i="2" s="1"/>
  <c r="Q270" i="2"/>
  <c r="R270" i="2" s="1"/>
  <c r="B270" i="2" s="1"/>
  <c r="M270" i="2"/>
  <c r="Q273" i="2"/>
  <c r="R273" i="2" s="1"/>
  <c r="B273" i="2" s="1"/>
  <c r="M273" i="2"/>
  <c r="Q276" i="2"/>
  <c r="R276" i="2" s="1"/>
  <c r="B276" i="2" s="1"/>
  <c r="M276" i="2"/>
  <c r="M275" i="2"/>
  <c r="Q275" i="2"/>
  <c r="R275" i="2" s="1"/>
  <c r="B275" i="2" s="1"/>
  <c r="Q274" i="2"/>
  <c r="R274" i="2" s="1"/>
  <c r="B274" i="2" s="1"/>
  <c r="M274" i="2"/>
  <c r="Q277" i="2"/>
  <c r="R277" i="2" s="1"/>
  <c r="B277" i="2" s="1"/>
  <c r="M277" i="2"/>
  <c r="Q280" i="2"/>
  <c r="R280" i="2" s="1"/>
  <c r="B280" i="2" s="1"/>
  <c r="M280" i="2"/>
  <c r="M279" i="2"/>
  <c r="Q279" i="2"/>
  <c r="R279" i="2" s="1"/>
  <c r="B279" i="2" s="1"/>
  <c r="Q278" i="2"/>
  <c r="R278" i="2" s="1"/>
  <c r="B278" i="2" s="1"/>
  <c r="M278" i="2"/>
  <c r="Q281" i="2"/>
  <c r="R281" i="2" s="1"/>
  <c r="B281" i="2" s="1"/>
  <c r="M281" i="2"/>
  <c r="Q284" i="2"/>
  <c r="R284" i="2" s="1"/>
  <c r="B284" i="2" s="1"/>
  <c r="M284" i="2"/>
  <c r="M283" i="2"/>
  <c r="Q283" i="2"/>
  <c r="R283" i="2" s="1"/>
  <c r="B283" i="2" s="1"/>
  <c r="Q282" i="2"/>
  <c r="R282" i="2" s="1"/>
  <c r="B282" i="2" s="1"/>
  <c r="M282" i="2"/>
  <c r="Q285" i="2"/>
  <c r="R285" i="2" s="1"/>
  <c r="B285" i="2" s="1"/>
  <c r="M285" i="2"/>
  <c r="Q288" i="2"/>
  <c r="R288" i="2" s="1"/>
  <c r="B288" i="2" s="1"/>
  <c r="M288" i="2"/>
  <c r="M287" i="2"/>
  <c r="Q287" i="2"/>
  <c r="R287" i="2" s="1"/>
  <c r="B287" i="2" s="1"/>
  <c r="Q286" i="2"/>
  <c r="R286" i="2" s="1"/>
  <c r="B286" i="2" s="1"/>
  <c r="M286" i="2"/>
  <c r="Q289" i="2"/>
  <c r="R289" i="2" s="1"/>
  <c r="B289" i="2" s="1"/>
  <c r="M289" i="2"/>
  <c r="Q292" i="2"/>
  <c r="R292" i="2" s="1"/>
  <c r="B292" i="2" s="1"/>
  <c r="M292" i="2"/>
  <c r="M291" i="2"/>
  <c r="Q291" i="2"/>
  <c r="R291" i="2" s="1"/>
  <c r="B291" i="2" s="1"/>
  <c r="Q290" i="2"/>
  <c r="R290" i="2" s="1"/>
  <c r="B290" i="2" s="1"/>
  <c r="M290" i="2"/>
  <c r="Q293" i="2"/>
  <c r="R293" i="2" s="1"/>
  <c r="B293" i="2" s="1"/>
  <c r="M293" i="2"/>
  <c r="Q296" i="2"/>
  <c r="R296" i="2" s="1"/>
  <c r="B296" i="2" s="1"/>
  <c r="M296" i="2"/>
  <c r="M295" i="2"/>
  <c r="Q295" i="2"/>
  <c r="R295" i="2" s="1"/>
  <c r="B295" i="2" s="1"/>
  <c r="Q294" i="2"/>
  <c r="R294" i="2" s="1"/>
  <c r="B294" i="2" s="1"/>
  <c r="M294" i="2"/>
  <c r="M238" i="2"/>
  <c r="Q238" i="2"/>
  <c r="R238" i="2" s="1"/>
  <c r="B238" i="2" s="1"/>
  <c r="M242" i="2"/>
  <c r="Q242" i="2"/>
  <c r="R242" i="2" s="1"/>
  <c r="B242" i="2" s="1"/>
  <c r="Q243" i="2"/>
  <c r="R243" i="2" s="1"/>
  <c r="B243" i="2" s="1"/>
  <c r="M243" i="2"/>
  <c r="Q240" i="2"/>
  <c r="R240" i="2" s="1"/>
  <c r="B240" i="2" s="1"/>
  <c r="M240" i="2"/>
  <c r="Q244" i="2"/>
  <c r="R244" i="2" s="1"/>
  <c r="B244" i="2" s="1"/>
  <c r="M244" i="2"/>
  <c r="Q239" i="2"/>
  <c r="R239" i="2" s="1"/>
  <c r="B239" i="2" s="1"/>
  <c r="M239" i="2"/>
  <c r="Q237" i="2"/>
  <c r="R237" i="2" s="1"/>
  <c r="B237" i="2" s="1"/>
  <c r="M237" i="2"/>
  <c r="Q241" i="2"/>
  <c r="R241" i="2" s="1"/>
  <c r="B241" i="2" s="1"/>
  <c r="M241" i="2"/>
  <c r="M231" i="2"/>
  <c r="Q231" i="2"/>
  <c r="R231" i="2" s="1"/>
  <c r="B231" i="2" s="1"/>
  <c r="Q230" i="2"/>
  <c r="R230" i="2" s="1"/>
  <c r="B230" i="2" s="1"/>
  <c r="M230" i="2"/>
  <c r="Q221" i="2"/>
  <c r="R221" i="2" s="1"/>
  <c r="B221" i="2" s="1"/>
  <c r="M221" i="2"/>
  <c r="Q222" i="2"/>
  <c r="R222" i="2" s="1"/>
  <c r="B222" i="2" s="1"/>
  <c r="M222" i="2"/>
  <c r="M220" i="2"/>
  <c r="Q220" i="2"/>
  <c r="R220" i="2" s="1"/>
  <c r="B220" i="2" s="1"/>
  <c r="M224" i="2"/>
  <c r="Q224" i="2"/>
  <c r="R224" i="2" s="1"/>
  <c r="B224" i="2" s="1"/>
  <c r="Q219" i="2"/>
  <c r="R219" i="2" s="1"/>
  <c r="B219" i="2" s="1"/>
  <c r="M219" i="2"/>
  <c r="Q223" i="2"/>
  <c r="R223" i="2" s="1"/>
  <c r="B223" i="2" s="1"/>
  <c r="M223" i="2"/>
  <c r="Q207" i="2"/>
  <c r="R207" i="2" s="1"/>
  <c r="B207" i="2" s="1"/>
  <c r="M207" i="2"/>
  <c r="Q206" i="2"/>
  <c r="R206" i="2" s="1"/>
  <c r="B206" i="2" s="1"/>
  <c r="M206" i="2"/>
  <c r="M205" i="2"/>
  <c r="Q205" i="2"/>
  <c r="R205" i="2" s="1"/>
  <c r="B205" i="2" s="1"/>
  <c r="M204" i="2"/>
  <c r="Q204" i="2"/>
  <c r="R204" i="2" s="1"/>
  <c r="B204" i="2" s="1"/>
  <c r="M208" i="2"/>
  <c r="Q208" i="2"/>
  <c r="R208" i="2" s="1"/>
  <c r="B208" i="2" s="1"/>
  <c r="Q180" i="2"/>
  <c r="R180" i="2" s="1"/>
  <c r="B180" i="2" s="1"/>
  <c r="M180" i="2"/>
  <c r="Q184" i="2"/>
  <c r="R184" i="2" s="1"/>
  <c r="B184" i="2" s="1"/>
  <c r="M184" i="2"/>
  <c r="Q188" i="2"/>
  <c r="R188" i="2" s="1"/>
  <c r="B188" i="2" s="1"/>
  <c r="M188" i="2"/>
  <c r="Q192" i="2"/>
  <c r="R192" i="2" s="1"/>
  <c r="B192" i="2" s="1"/>
  <c r="M192" i="2"/>
  <c r="M175" i="2"/>
  <c r="Q175" i="2"/>
  <c r="R175" i="2" s="1"/>
  <c r="B175" i="2" s="1"/>
  <c r="Q196" i="2"/>
  <c r="R196" i="2" s="1"/>
  <c r="B196" i="2" s="1"/>
  <c r="M196" i="2"/>
  <c r="M179" i="2"/>
  <c r="Q179" i="2"/>
  <c r="R179" i="2" s="1"/>
  <c r="B179" i="2" s="1"/>
  <c r="Q177" i="2"/>
  <c r="R177" i="2" s="1"/>
  <c r="B177" i="2" s="1"/>
  <c r="M177" i="2"/>
  <c r="M183" i="2"/>
  <c r="Q183" i="2"/>
  <c r="R183" i="2" s="1"/>
  <c r="B183" i="2" s="1"/>
  <c r="M174" i="2"/>
  <c r="Q174" i="2"/>
  <c r="R174" i="2" s="1"/>
  <c r="B174" i="2" s="1"/>
  <c r="Q181" i="2"/>
  <c r="R181" i="2" s="1"/>
  <c r="B181" i="2" s="1"/>
  <c r="M181" i="2"/>
  <c r="M187" i="2"/>
  <c r="Q187" i="2"/>
  <c r="R187" i="2" s="1"/>
  <c r="B187" i="2" s="1"/>
  <c r="M178" i="2"/>
  <c r="Q178" i="2"/>
  <c r="R178" i="2" s="1"/>
  <c r="B178" i="2" s="1"/>
  <c r="M191" i="2"/>
  <c r="Q191" i="2"/>
  <c r="R191" i="2" s="1"/>
  <c r="B191" i="2" s="1"/>
  <c r="M182" i="2"/>
  <c r="Q182" i="2"/>
  <c r="R182" i="2" s="1"/>
  <c r="B182" i="2" s="1"/>
  <c r="Q185" i="2"/>
  <c r="R185" i="2" s="1"/>
  <c r="B185" i="2" s="1"/>
  <c r="M185" i="2"/>
  <c r="Q189" i="2"/>
  <c r="R189" i="2" s="1"/>
  <c r="B189" i="2" s="1"/>
  <c r="M189" i="2"/>
  <c r="M195" i="2"/>
  <c r="Q195" i="2"/>
  <c r="R195" i="2" s="1"/>
  <c r="B195" i="2" s="1"/>
  <c r="M186" i="2"/>
  <c r="Q186" i="2"/>
  <c r="R186" i="2" s="1"/>
  <c r="B186" i="2" s="1"/>
  <c r="Q193" i="2"/>
  <c r="R193" i="2" s="1"/>
  <c r="B193" i="2" s="1"/>
  <c r="M193" i="2"/>
  <c r="M190" i="2"/>
  <c r="Q190" i="2"/>
  <c r="R190" i="2" s="1"/>
  <c r="B190" i="2" s="1"/>
  <c r="Q197" i="2"/>
  <c r="R197" i="2" s="1"/>
  <c r="B197" i="2" s="1"/>
  <c r="M197" i="2"/>
  <c r="M194" i="2"/>
  <c r="Q194" i="2"/>
  <c r="R194" i="2" s="1"/>
  <c r="B194" i="2" s="1"/>
  <c r="Q176" i="2"/>
  <c r="R176" i="2" s="1"/>
  <c r="B176" i="2" s="1"/>
  <c r="M176" i="2"/>
  <c r="M198" i="2"/>
  <c r="Q198" i="2"/>
  <c r="R198" i="2" s="1"/>
  <c r="B198" i="2" s="1"/>
  <c r="Q164" i="2"/>
  <c r="R164" i="2" s="1"/>
  <c r="B164" i="2" s="1"/>
  <c r="M164" i="2"/>
  <c r="Q168" i="2"/>
  <c r="R168" i="2" s="1"/>
  <c r="B168" i="2" s="1"/>
  <c r="M168" i="2"/>
  <c r="Q165" i="2"/>
  <c r="R165" i="2" s="1"/>
  <c r="B165" i="2" s="1"/>
  <c r="M165" i="2"/>
  <c r="M163" i="2"/>
  <c r="Q163" i="2"/>
  <c r="R163" i="2" s="1"/>
  <c r="B163" i="2" s="1"/>
  <c r="M167" i="2"/>
  <c r="Q167" i="2"/>
  <c r="R167" i="2" s="1"/>
  <c r="B167" i="2" s="1"/>
  <c r="Q162" i="2"/>
  <c r="R162" i="2" s="1"/>
  <c r="B162" i="2" s="1"/>
  <c r="M162" i="2"/>
  <c r="Q166" i="2"/>
  <c r="R166" i="2" s="1"/>
  <c r="B166" i="2" s="1"/>
  <c r="M166" i="2"/>
  <c r="M155" i="2"/>
  <c r="Q155" i="2"/>
  <c r="R155" i="2" s="1"/>
  <c r="B155" i="2" s="1"/>
  <c r="Q154" i="2"/>
  <c r="R154" i="2" s="1"/>
  <c r="B154" i="2" s="1"/>
  <c r="M154" i="2"/>
  <c r="M153" i="2"/>
  <c r="Q153" i="2"/>
  <c r="R153" i="2" s="1"/>
  <c r="B153" i="2" s="1"/>
  <c r="Q152" i="2"/>
  <c r="R152" i="2" s="1"/>
  <c r="B152" i="2" s="1"/>
  <c r="M152" i="2"/>
  <c r="Q156" i="2"/>
  <c r="R156" i="2" s="1"/>
  <c r="B156" i="2" s="1"/>
  <c r="M156" i="2"/>
  <c r="Q142" i="2"/>
  <c r="R142" i="2" s="1"/>
  <c r="B142" i="2" s="1"/>
  <c r="M142" i="2"/>
  <c r="Q146" i="2"/>
  <c r="R146" i="2" s="1"/>
  <c r="B146" i="2" s="1"/>
  <c r="M146" i="2"/>
  <c r="Q143" i="2"/>
  <c r="R143" i="2" s="1"/>
  <c r="B143" i="2" s="1"/>
  <c r="M143" i="2"/>
  <c r="M141" i="2"/>
  <c r="Q141" i="2"/>
  <c r="R141" i="2" s="1"/>
  <c r="B141" i="2" s="1"/>
  <c r="M145" i="2"/>
  <c r="Q145" i="2"/>
  <c r="R145" i="2" s="1"/>
  <c r="B145" i="2" s="1"/>
  <c r="M140" i="2"/>
  <c r="Q140" i="2"/>
  <c r="R140" i="2" s="1"/>
  <c r="B140" i="2" s="1"/>
  <c r="M144" i="2"/>
  <c r="Q144" i="2"/>
  <c r="R144" i="2" s="1"/>
  <c r="B144" i="2" s="1"/>
  <c r="M82" i="2"/>
  <c r="Q82" i="2"/>
  <c r="R82" i="2" s="1"/>
  <c r="B82" i="2" s="1"/>
  <c r="M130" i="2"/>
  <c r="Q130" i="2"/>
  <c r="R130" i="2" s="1"/>
  <c r="B130" i="2" s="1"/>
  <c r="Q89" i="2"/>
  <c r="R89" i="2" s="1"/>
  <c r="B89" i="2" s="1"/>
  <c r="M89" i="2"/>
  <c r="Q92" i="2"/>
  <c r="R92" i="2" s="1"/>
  <c r="B92" i="2" s="1"/>
  <c r="M92" i="2"/>
  <c r="M86" i="2"/>
  <c r="Q86" i="2"/>
  <c r="R86" i="2" s="1"/>
  <c r="B86" i="2" s="1"/>
  <c r="M134" i="2"/>
  <c r="Q134" i="2"/>
  <c r="R134" i="2" s="1"/>
  <c r="B134" i="2" s="1"/>
  <c r="Q93" i="2"/>
  <c r="R93" i="2" s="1"/>
  <c r="B93" i="2" s="1"/>
  <c r="M93" i="2"/>
  <c r="Q119" i="2"/>
  <c r="R119" i="2" s="1"/>
  <c r="B119" i="2" s="1"/>
  <c r="M119" i="2"/>
  <c r="M90" i="2"/>
  <c r="Q90" i="2"/>
  <c r="R90" i="2" s="1"/>
  <c r="B90" i="2" s="1"/>
  <c r="Q97" i="2"/>
  <c r="R97" i="2" s="1"/>
  <c r="B97" i="2" s="1"/>
  <c r="M97" i="2"/>
  <c r="Q128" i="2"/>
  <c r="R128" i="2" s="1"/>
  <c r="B128" i="2" s="1"/>
  <c r="M128" i="2"/>
  <c r="Q104" i="2"/>
  <c r="R104" i="2" s="1"/>
  <c r="B104" i="2" s="1"/>
  <c r="M104" i="2"/>
  <c r="M72" i="2"/>
  <c r="Q72" i="2"/>
  <c r="R72" i="2" s="1"/>
  <c r="B72" i="2" s="1"/>
  <c r="M96" i="2"/>
  <c r="Q96" i="2"/>
  <c r="R96" i="2" s="1"/>
  <c r="B96" i="2" s="1"/>
  <c r="M94" i="2"/>
  <c r="Q94" i="2"/>
  <c r="R94" i="2" s="1"/>
  <c r="B94" i="2" s="1"/>
  <c r="Q101" i="2"/>
  <c r="R101" i="2" s="1"/>
  <c r="B101" i="2" s="1"/>
  <c r="M101" i="2"/>
  <c r="Q71" i="2"/>
  <c r="R71" i="2" s="1"/>
  <c r="B71" i="2" s="1"/>
  <c r="M71" i="2"/>
  <c r="M115" i="2"/>
  <c r="Q115" i="2"/>
  <c r="R115" i="2" s="1"/>
  <c r="B115" i="2" s="1"/>
  <c r="M98" i="2"/>
  <c r="Q98" i="2"/>
  <c r="R98" i="2" s="1"/>
  <c r="B98" i="2" s="1"/>
  <c r="Q105" i="2"/>
  <c r="R105" i="2" s="1"/>
  <c r="B105" i="2" s="1"/>
  <c r="M105" i="2"/>
  <c r="Q112" i="2"/>
  <c r="R112" i="2" s="1"/>
  <c r="B112" i="2" s="1"/>
  <c r="M112" i="2"/>
  <c r="Q75" i="2"/>
  <c r="R75" i="2" s="1"/>
  <c r="B75" i="2" s="1"/>
  <c r="M75" i="2"/>
  <c r="M132" i="2"/>
  <c r="Q132" i="2"/>
  <c r="R132" i="2" s="1"/>
  <c r="B132" i="2" s="1"/>
  <c r="Q120" i="2"/>
  <c r="R120" i="2" s="1"/>
  <c r="B120" i="2" s="1"/>
  <c r="M120" i="2"/>
  <c r="Q76" i="2"/>
  <c r="R76" i="2" s="1"/>
  <c r="B76" i="2" s="1"/>
  <c r="M76" i="2"/>
  <c r="M100" i="2"/>
  <c r="Q100" i="2"/>
  <c r="R100" i="2" s="1"/>
  <c r="B100" i="2" s="1"/>
  <c r="M102" i="2"/>
  <c r="Q102" i="2"/>
  <c r="R102" i="2" s="1"/>
  <c r="B102" i="2" s="1"/>
  <c r="Q109" i="2"/>
  <c r="R109" i="2" s="1"/>
  <c r="B109" i="2" s="1"/>
  <c r="M109" i="2"/>
  <c r="Q79" i="2"/>
  <c r="R79" i="2" s="1"/>
  <c r="B79" i="2" s="1"/>
  <c r="M79" i="2"/>
  <c r="Q123" i="2"/>
  <c r="R123" i="2" s="1"/>
  <c r="B123" i="2" s="1"/>
  <c r="M123" i="2"/>
  <c r="M131" i="2"/>
  <c r="Q131" i="2"/>
  <c r="R131" i="2" s="1"/>
  <c r="B131" i="2" s="1"/>
  <c r="M106" i="2"/>
  <c r="Q106" i="2"/>
  <c r="R106" i="2" s="1"/>
  <c r="B106" i="2" s="1"/>
  <c r="M113" i="2"/>
  <c r="Q113" i="2"/>
  <c r="R113" i="2" s="1"/>
  <c r="B113" i="2" s="1"/>
  <c r="Q83" i="2"/>
  <c r="R83" i="2" s="1"/>
  <c r="B83" i="2" s="1"/>
  <c r="M83" i="2"/>
  <c r="Q111" i="2"/>
  <c r="R111" i="2" s="1"/>
  <c r="B111" i="2" s="1"/>
  <c r="M111" i="2"/>
  <c r="Q80" i="2"/>
  <c r="M80" i="2"/>
  <c r="M110" i="2"/>
  <c r="Q110" i="2"/>
  <c r="R110" i="2" s="1"/>
  <c r="B110" i="2" s="1"/>
  <c r="Q69" i="2"/>
  <c r="R69" i="2" s="1"/>
  <c r="B69" i="2" s="1"/>
  <c r="M69" i="2"/>
  <c r="M117" i="2"/>
  <c r="Q117" i="2"/>
  <c r="R117" i="2" s="1"/>
  <c r="B117" i="2" s="1"/>
  <c r="M103" i="2"/>
  <c r="Q103" i="2"/>
  <c r="R103" i="2" s="1"/>
  <c r="B103" i="2" s="1"/>
  <c r="Q87" i="2"/>
  <c r="R87" i="2" s="1"/>
  <c r="B87" i="2" s="1"/>
  <c r="M87" i="2"/>
  <c r="Q127" i="2"/>
  <c r="R127" i="2" s="1"/>
  <c r="B127" i="2" s="1"/>
  <c r="M127" i="2"/>
  <c r="M114" i="2"/>
  <c r="Q114" i="2"/>
  <c r="R114" i="2" s="1"/>
  <c r="B114" i="2" s="1"/>
  <c r="Q73" i="2"/>
  <c r="R73" i="2" s="1"/>
  <c r="B73" i="2" s="1"/>
  <c r="M73" i="2"/>
  <c r="Q121" i="2"/>
  <c r="R121" i="2" s="1"/>
  <c r="B121" i="2" s="1"/>
  <c r="M121" i="2"/>
  <c r="M116" i="2"/>
  <c r="Q116" i="2"/>
  <c r="R116" i="2" s="1"/>
  <c r="B116" i="2" s="1"/>
  <c r="Q91" i="2"/>
  <c r="R91" i="2" s="1"/>
  <c r="B91" i="2" s="1"/>
  <c r="M91" i="2"/>
  <c r="R80" i="2"/>
  <c r="B80" i="2" s="1"/>
  <c r="M84" i="2"/>
  <c r="Q84" i="2"/>
  <c r="R84" i="2" s="1"/>
  <c r="B84" i="2" s="1"/>
  <c r="M70" i="2"/>
  <c r="Q70" i="2"/>
  <c r="R70" i="2" s="1"/>
  <c r="B70" i="2" s="1"/>
  <c r="M118" i="2"/>
  <c r="Q118" i="2"/>
  <c r="R118" i="2" s="1"/>
  <c r="B118" i="2" s="1"/>
  <c r="Q77" i="2"/>
  <c r="R77" i="2" s="1"/>
  <c r="B77" i="2" s="1"/>
  <c r="M77" i="2"/>
  <c r="Q125" i="2"/>
  <c r="R125" i="2" s="1"/>
  <c r="B125" i="2" s="1"/>
  <c r="M125" i="2"/>
  <c r="Q95" i="2"/>
  <c r="R95" i="2" s="1"/>
  <c r="B95" i="2" s="1"/>
  <c r="M95" i="2"/>
  <c r="Q107" i="2"/>
  <c r="R107" i="2" s="1"/>
  <c r="B107" i="2" s="1"/>
  <c r="M107" i="2"/>
  <c r="Q108" i="2"/>
  <c r="R108" i="2" s="1"/>
  <c r="B108" i="2" s="1"/>
  <c r="M108" i="2"/>
  <c r="M74" i="2"/>
  <c r="Q74" i="2"/>
  <c r="R74" i="2" s="1"/>
  <c r="B74" i="2" s="1"/>
  <c r="M122" i="2"/>
  <c r="Q122" i="2"/>
  <c r="R122" i="2" s="1"/>
  <c r="B122" i="2" s="1"/>
  <c r="Q81" i="2"/>
  <c r="R81" i="2" s="1"/>
  <c r="B81" i="2" s="1"/>
  <c r="M81" i="2"/>
  <c r="Q129" i="2"/>
  <c r="R129" i="2" s="1"/>
  <c r="B129" i="2" s="1"/>
  <c r="M129" i="2"/>
  <c r="Q99" i="2"/>
  <c r="R99" i="2" s="1"/>
  <c r="B99" i="2" s="1"/>
  <c r="M99" i="2"/>
  <c r="Q124" i="2"/>
  <c r="R124" i="2" s="1"/>
  <c r="B124" i="2" s="1"/>
  <c r="M124" i="2"/>
  <c r="M88" i="2"/>
  <c r="Q88" i="2"/>
  <c r="R88" i="2" s="1"/>
  <c r="B88" i="2" s="1"/>
  <c r="M78" i="2"/>
  <c r="Q78" i="2"/>
  <c r="R78" i="2" s="1"/>
  <c r="B78" i="2" s="1"/>
  <c r="M126" i="2"/>
  <c r="Q126" i="2"/>
  <c r="R126" i="2" s="1"/>
  <c r="B126" i="2" s="1"/>
  <c r="Q85" i="2"/>
  <c r="R85" i="2" s="1"/>
  <c r="B85" i="2" s="1"/>
  <c r="M85" i="2"/>
  <c r="M133" i="2"/>
  <c r="Q133" i="2"/>
  <c r="R133" i="2" s="1"/>
  <c r="B133" i="2" s="1"/>
  <c r="Q63" i="2"/>
  <c r="R63" i="2" s="1"/>
  <c r="B63" i="2" s="1"/>
  <c r="M63" i="2"/>
  <c r="Q54" i="2"/>
  <c r="R54" i="2" s="1"/>
  <c r="B54" i="2" s="1"/>
  <c r="M54" i="2"/>
  <c r="Q55" i="2"/>
  <c r="R55" i="2" s="1"/>
  <c r="B55" i="2" s="1"/>
  <c r="M55" i="2"/>
  <c r="M53" i="2"/>
  <c r="Q53" i="2"/>
  <c r="R53" i="2" s="1"/>
  <c r="B53" i="2" s="1"/>
  <c r="Q57" i="2"/>
  <c r="R57" i="2" s="1"/>
  <c r="B57" i="2" s="1"/>
  <c r="M57" i="2"/>
  <c r="Q52" i="2"/>
  <c r="R52" i="2" s="1"/>
  <c r="B52" i="2" s="1"/>
  <c r="M52" i="2"/>
  <c r="Q56" i="2"/>
  <c r="R56" i="2" s="1"/>
  <c r="B56" i="2" s="1"/>
  <c r="M56" i="2"/>
  <c r="Q44" i="2"/>
  <c r="R44" i="2" s="1"/>
  <c r="B44" i="2" s="1"/>
  <c r="M44" i="2"/>
  <c r="Q43" i="2"/>
  <c r="R43" i="2" s="1"/>
  <c r="B43" i="2" s="1"/>
  <c r="M43" i="2"/>
  <c r="M42" i="2"/>
  <c r="Q42" i="2"/>
  <c r="R42" i="2" s="1"/>
  <c r="B42" i="2" s="1"/>
  <c r="M46" i="2"/>
  <c r="Q46" i="2"/>
  <c r="R46" i="2" s="1"/>
  <c r="B46" i="2" s="1"/>
  <c r="Q41" i="2"/>
  <c r="R41" i="2" s="1"/>
  <c r="B41" i="2" s="1"/>
  <c r="M41" i="2"/>
  <c r="Q45" i="2"/>
  <c r="R45" i="2" s="1"/>
  <c r="B45" i="2" s="1"/>
  <c r="M45" i="2"/>
  <c r="Q35" i="2"/>
  <c r="R35" i="2" s="1"/>
  <c r="B35" i="2" s="1"/>
  <c r="M35" i="2"/>
  <c r="M27" i="2"/>
  <c r="Q27" i="2"/>
  <c r="R27" i="2" s="1"/>
  <c r="B27" i="2" s="1"/>
  <c r="Q21" i="2"/>
  <c r="R21" i="2" s="1"/>
  <c r="B21" i="2" s="1"/>
  <c r="M21" i="2"/>
  <c r="M31" i="2"/>
  <c r="Q31" i="2"/>
  <c r="R31" i="2" s="1"/>
  <c r="B31" i="2" s="1"/>
  <c r="M18" i="2"/>
  <c r="Q18" i="2"/>
  <c r="R18" i="2" s="1"/>
  <c r="B18" i="2" s="1"/>
  <c r="Q23" i="2"/>
  <c r="R23" i="2" s="1"/>
  <c r="B23" i="2" s="1"/>
  <c r="M23" i="2"/>
  <c r="Q24" i="2"/>
  <c r="R24" i="2" s="1"/>
  <c r="B24" i="2" s="1"/>
  <c r="M24" i="2"/>
  <c r="Q33" i="2"/>
  <c r="R33" i="2" s="1"/>
  <c r="B33" i="2" s="1"/>
  <c r="M33" i="2"/>
  <c r="M30" i="2"/>
  <c r="Q30" i="2"/>
  <c r="R30" i="2" s="1"/>
  <c r="B30" i="2" s="1"/>
  <c r="Q22" i="2"/>
  <c r="R22" i="2" s="1"/>
  <c r="B22" i="2" s="1"/>
  <c r="M22" i="2"/>
  <c r="Q32" i="2"/>
  <c r="R32" i="2" s="1"/>
  <c r="B32" i="2" s="1"/>
  <c r="M32" i="2"/>
  <c r="M17" i="2"/>
  <c r="Q17" i="2"/>
  <c r="R17" i="2" s="1"/>
  <c r="B17" i="2" s="1"/>
  <c r="Q34" i="2"/>
  <c r="R34" i="2" s="1"/>
  <c r="B34" i="2" s="1"/>
  <c r="M34" i="2"/>
  <c r="Q25" i="2"/>
  <c r="R25" i="2" s="1"/>
  <c r="B25" i="2" s="1"/>
  <c r="M25" i="2"/>
  <c r="Q29" i="2"/>
  <c r="R29" i="2" s="1"/>
  <c r="B29" i="2" s="1"/>
  <c r="M29" i="2"/>
  <c r="Q26" i="2"/>
  <c r="R26" i="2" s="1"/>
  <c r="B26" i="2" s="1"/>
  <c r="M26" i="2"/>
  <c r="Q20" i="2"/>
  <c r="R20" i="2" s="1"/>
  <c r="B20" i="2" s="1"/>
  <c r="M20" i="2"/>
  <c r="M28" i="2"/>
  <c r="Q28" i="2"/>
  <c r="R28" i="2" s="1"/>
  <c r="B28" i="2" s="1"/>
  <c r="Q19" i="2"/>
  <c r="R19" i="2" s="1"/>
  <c r="B19" i="2" s="1"/>
  <c r="M19" i="2"/>
  <c r="M348" i="2"/>
  <c r="Q348" i="2"/>
  <c r="R348" i="2" s="1"/>
  <c r="B348" i="2" s="1"/>
  <c r="M739" i="2"/>
  <c r="Q739" i="2"/>
  <c r="R739" i="2" s="1"/>
  <c r="B739" i="2" s="1"/>
  <c r="Q62" i="2"/>
  <c r="R62" i="2" s="1"/>
  <c r="B62" i="2" s="1"/>
  <c r="M62" i="2"/>
  <c r="Q417" i="2"/>
  <c r="R417" i="2" s="1"/>
  <c r="B417" i="2" s="1"/>
  <c r="M417" i="2"/>
  <c r="Q51" i="2"/>
  <c r="R51" i="2" s="1"/>
  <c r="B51" i="2" s="1"/>
  <c r="M51" i="2"/>
  <c r="M310" i="2"/>
  <c r="Q310" i="2"/>
  <c r="R310" i="2" s="1"/>
  <c r="B310" i="2" s="1"/>
  <c r="M203" i="2"/>
  <c r="Q203" i="2"/>
  <c r="R203" i="2" s="1"/>
  <c r="B203" i="2" s="1"/>
  <c r="Q666" i="2"/>
  <c r="R666" i="2" s="1"/>
  <c r="B666" i="2" s="1"/>
  <c r="M666" i="2"/>
  <c r="Q392" i="2"/>
  <c r="R392" i="2" s="1"/>
  <c r="B392" i="2" s="1"/>
  <c r="M392" i="2"/>
  <c r="Q504" i="2"/>
  <c r="R504" i="2" s="1"/>
  <c r="B504" i="2" s="1"/>
  <c r="M504" i="2"/>
  <c r="Q631" i="2"/>
  <c r="R631" i="2" s="1"/>
  <c r="B631" i="2" s="1"/>
  <c r="M631" i="2"/>
  <c r="Q341" i="2"/>
  <c r="R341" i="2" s="1"/>
  <c r="B341" i="2" s="1"/>
  <c r="M341" i="2"/>
  <c r="M549" i="2"/>
  <c r="Q549" i="2"/>
  <c r="R549" i="2" s="1"/>
  <c r="B549" i="2" s="1"/>
  <c r="M229" i="2"/>
  <c r="Q229" i="2"/>
  <c r="R229" i="2" s="1"/>
  <c r="B229" i="2" s="1"/>
  <c r="M322" i="2"/>
  <c r="Q322" i="2"/>
  <c r="R322" i="2" s="1"/>
  <c r="B322" i="2" s="1"/>
  <c r="M236" i="2"/>
  <c r="Q236" i="2"/>
  <c r="R236" i="2" s="1"/>
  <c r="B236" i="2" s="1"/>
  <c r="M16" i="2"/>
  <c r="Q16" i="2"/>
  <c r="R16" i="2" s="1"/>
  <c r="B16" i="2" s="1"/>
  <c r="Q458" i="2"/>
  <c r="R458" i="2" s="1"/>
  <c r="B458" i="2" s="1"/>
  <c r="M458" i="2"/>
  <c r="Q478" i="2"/>
  <c r="R478" i="2" s="1"/>
  <c r="B478" i="2" s="1"/>
  <c r="M478" i="2"/>
  <c r="Q249" i="2"/>
  <c r="R249" i="2" s="1"/>
  <c r="B249" i="2" s="1"/>
  <c r="M249" i="2"/>
  <c r="M433" i="2"/>
  <c r="Q433" i="2"/>
  <c r="R433" i="2" s="1"/>
  <c r="B433" i="2" s="1"/>
  <c r="M139" i="2"/>
  <c r="Q139" i="2"/>
  <c r="R139" i="2" s="1"/>
  <c r="B139" i="2" s="1"/>
  <c r="M40" i="2"/>
  <c r="Q40" i="2"/>
  <c r="R40" i="2" s="1"/>
  <c r="B40" i="2" s="1"/>
  <c r="Q301" i="2"/>
  <c r="R301" i="2" s="1"/>
  <c r="B301" i="2" s="1"/>
  <c r="M301" i="2"/>
  <c r="M448" i="2"/>
  <c r="Q448" i="2"/>
  <c r="R448" i="2" s="1"/>
  <c r="B448" i="2" s="1"/>
  <c r="M68" i="2"/>
  <c r="Q68" i="2"/>
  <c r="R68" i="2" s="1"/>
  <c r="B68" i="2" s="1"/>
  <c r="Q151" i="2"/>
  <c r="R151" i="2" s="1"/>
  <c r="B151" i="2" s="1"/>
  <c r="M151" i="2"/>
  <c r="M493" i="2"/>
  <c r="Q493" i="2"/>
  <c r="R493" i="2" s="1"/>
  <c r="B493" i="2" s="1"/>
  <c r="M360" i="2"/>
  <c r="Q360" i="2"/>
  <c r="R360" i="2" s="1"/>
  <c r="B360" i="2" s="1"/>
  <c r="Q213" i="2"/>
  <c r="R213" i="2" s="1"/>
  <c r="B213" i="2" s="1"/>
  <c r="M213" i="2"/>
  <c r="M161" i="2"/>
  <c r="Q161" i="2"/>
  <c r="R161" i="2" s="1"/>
  <c r="B161" i="2" s="1"/>
  <c r="M173" i="2"/>
  <c r="Q173" i="2"/>
  <c r="R173" i="2" s="1"/>
  <c r="B173" i="2" s="1"/>
  <c r="Q331" i="2"/>
  <c r="R331" i="2" s="1"/>
  <c r="B331" i="2" s="1"/>
  <c r="M331" i="2"/>
  <c r="M535" i="2"/>
  <c r="Q535" i="2"/>
  <c r="R535" i="2" s="1"/>
  <c r="B535" i="2" s="1"/>
  <c r="M498" i="2"/>
  <c r="Q498" i="2"/>
  <c r="R498" i="2" s="1"/>
  <c r="B498" i="2" s="1"/>
  <c r="M775" i="2"/>
  <c r="Q775" i="2"/>
  <c r="R775" i="2" s="1"/>
  <c r="B775" i="2" s="1"/>
  <c r="Q510" i="2"/>
  <c r="R510" i="2" s="1"/>
  <c r="B510" i="2" s="1"/>
  <c r="M510" i="2"/>
  <c r="Q218" i="2"/>
  <c r="R218" i="2" s="1"/>
  <c r="B218" i="2" s="1"/>
  <c r="M218" i="2"/>
  <c r="E1" i="2" l="1"/>
  <c r="P328" i="2" l="1"/>
  <c r="P210" i="2"/>
  <c r="P307" i="2"/>
  <c r="P215" i="2"/>
  <c r="P48" i="2"/>
  <c r="P200" i="2"/>
  <c r="P136" i="2"/>
  <c r="P495" i="2"/>
  <c r="P501" i="2"/>
  <c r="P414" i="2"/>
  <c r="P59" i="2"/>
  <c r="P226" i="2"/>
  <c r="P475" i="2"/>
  <c r="P389" i="2"/>
  <c r="P771" i="2"/>
  <c r="P170" i="2"/>
  <c r="P455" i="2"/>
  <c r="P507" i="2"/>
  <c r="P532" i="2"/>
  <c r="P148" i="2"/>
  <c r="P158" i="2"/>
  <c r="P660" i="2"/>
  <c r="P298" i="2"/>
  <c r="P37" i="2"/>
  <c r="P233" i="2"/>
  <c r="P538" i="2"/>
  <c r="P65" i="2"/>
  <c r="P345" i="2"/>
  <c r="P430" i="2"/>
  <c r="I777" i="2"/>
  <c r="P777" i="2" s="1"/>
  <c r="P319" i="2"/>
  <c r="P246" i="2"/>
  <c r="P357" i="2"/>
  <c r="K777" i="2"/>
  <c r="M475" i="2" l="1"/>
  <c r="Q475" i="2"/>
  <c r="R475" i="2" s="1"/>
  <c r="B475" i="2" s="1"/>
  <c r="Q532" i="2"/>
  <c r="R532" i="2" s="1"/>
  <c r="B532" i="2" s="1"/>
  <c r="M532" i="2"/>
  <c r="Q226" i="2"/>
  <c r="R226" i="2" s="1"/>
  <c r="B226" i="2" s="1"/>
  <c r="M226" i="2"/>
  <c r="M414" i="2"/>
  <c r="Q414" i="2"/>
  <c r="R414" i="2" s="1"/>
  <c r="B414" i="2" s="1"/>
  <c r="Q170" i="2"/>
  <c r="R170" i="2" s="1"/>
  <c r="B170" i="2" s="1"/>
  <c r="M170" i="2"/>
  <c r="Q215" i="2"/>
  <c r="R215" i="2" s="1"/>
  <c r="B215" i="2" s="1"/>
  <c r="M215" i="2"/>
  <c r="Q488" i="2"/>
  <c r="M488" i="2"/>
  <c r="M538" i="2"/>
  <c r="Q538" i="2"/>
  <c r="R538" i="2" s="1"/>
  <c r="B538" i="2" s="1"/>
  <c r="Q200" i="2"/>
  <c r="R200" i="2" s="1"/>
  <c r="B200" i="2" s="1"/>
  <c r="M200" i="2"/>
  <c r="Q501" i="2"/>
  <c r="R501" i="2" s="1"/>
  <c r="B501" i="2" s="1"/>
  <c r="M501" i="2"/>
  <c r="Q628" i="2"/>
  <c r="M628" i="2"/>
  <c r="M443" i="2"/>
  <c r="Q443" i="2"/>
  <c r="M389" i="2"/>
  <c r="Q389" i="2"/>
  <c r="R389" i="2" s="1"/>
  <c r="B389" i="2" s="1"/>
  <c r="Q507" i="2"/>
  <c r="R507" i="2" s="1"/>
  <c r="B507" i="2" s="1"/>
  <c r="M507" i="2"/>
  <c r="P443" i="2"/>
  <c r="M298" i="2"/>
  <c r="Q298" i="2"/>
  <c r="R298" i="2" s="1"/>
  <c r="B298" i="2" s="1"/>
  <c r="M357" i="2"/>
  <c r="Q357" i="2"/>
  <c r="R357" i="2" s="1"/>
  <c r="B357" i="2" s="1"/>
  <c r="Q771" i="2"/>
  <c r="R771" i="2" s="1"/>
  <c r="B771" i="2" s="1"/>
  <c r="M771" i="2"/>
  <c r="Q328" i="2"/>
  <c r="R328" i="2" s="1"/>
  <c r="B328" i="2" s="1"/>
  <c r="M328" i="2"/>
  <c r="Q777" i="2"/>
  <c r="R777" i="2" s="1"/>
  <c r="B777" i="2" s="1"/>
  <c r="M777" i="2"/>
  <c r="Q319" i="2"/>
  <c r="R319" i="2" s="1"/>
  <c r="B319" i="2" s="1"/>
  <c r="M319" i="2"/>
  <c r="Q333" i="2"/>
  <c r="M333" i="2"/>
  <c r="Q59" i="2"/>
  <c r="R59" i="2" s="1"/>
  <c r="B59" i="2" s="1"/>
  <c r="B50" i="2" s="1"/>
  <c r="M59" i="2"/>
  <c r="P490" i="2"/>
  <c r="P488" i="2"/>
  <c r="P736" i="2"/>
  <c r="I779" i="2"/>
  <c r="P779" i="2" s="1"/>
  <c r="Q660" i="2"/>
  <c r="R660" i="2" s="1"/>
  <c r="B660" i="2" s="1"/>
  <c r="M660" i="2"/>
  <c r="M430" i="2"/>
  <c r="Q430" i="2"/>
  <c r="R430" i="2" s="1"/>
  <c r="B430" i="2" s="1"/>
  <c r="B416" i="2" s="1"/>
  <c r="Q37" i="2"/>
  <c r="R37" i="2" s="1"/>
  <c r="B37" i="2" s="1"/>
  <c r="M37" i="2"/>
  <c r="Q48" i="2"/>
  <c r="R48" i="2" s="1"/>
  <c r="B48" i="2" s="1"/>
  <c r="M48" i="2"/>
  <c r="P333" i="2"/>
  <c r="Q65" i="2"/>
  <c r="R65" i="2" s="1"/>
  <c r="B65" i="2" s="1"/>
  <c r="B61" i="2" s="1"/>
  <c r="M65" i="2"/>
  <c r="P628" i="2"/>
  <c r="M158" i="2"/>
  <c r="Q158" i="2"/>
  <c r="R158" i="2" s="1"/>
  <c r="B158" i="2" s="1"/>
  <c r="Q210" i="2"/>
  <c r="R210" i="2" s="1"/>
  <c r="B210" i="2" s="1"/>
  <c r="M210" i="2"/>
  <c r="Q736" i="2"/>
  <c r="K779" i="2"/>
  <c r="M736" i="2"/>
  <c r="Q246" i="2"/>
  <c r="R246" i="2" s="1"/>
  <c r="B246" i="2" s="1"/>
  <c r="M246" i="2"/>
  <c r="Q307" i="2"/>
  <c r="R307" i="2" s="1"/>
  <c r="B307" i="2" s="1"/>
  <c r="M307" i="2"/>
  <c r="Q148" i="2"/>
  <c r="R148" i="2" s="1"/>
  <c r="B148" i="2" s="1"/>
  <c r="M148" i="2"/>
  <c r="Q345" i="2"/>
  <c r="R345" i="2" s="1"/>
  <c r="B345" i="2" s="1"/>
  <c r="M345" i="2"/>
  <c r="Q455" i="2"/>
  <c r="R455" i="2" s="1"/>
  <c r="B455" i="2" s="1"/>
  <c r="M455" i="2"/>
  <c r="M233" i="2"/>
  <c r="Q233" i="2"/>
  <c r="R233" i="2" s="1"/>
  <c r="B233" i="2" s="1"/>
  <c r="Q495" i="2"/>
  <c r="R495" i="2" s="1"/>
  <c r="B495" i="2" s="1"/>
  <c r="M495" i="2"/>
  <c r="Q136" i="2"/>
  <c r="R136" i="2" s="1"/>
  <c r="B136" i="2" s="1"/>
  <c r="M136" i="2"/>
  <c r="R333" i="2" l="1"/>
  <c r="B333" i="2" s="1"/>
  <c r="B334" i="2" s="1"/>
  <c r="R488" i="2"/>
  <c r="B488" i="2" s="1"/>
  <c r="B477" i="2" s="1"/>
  <c r="R628" i="2"/>
  <c r="B628" i="2" s="1"/>
  <c r="B629" i="2" s="1"/>
  <c r="R443" i="2"/>
  <c r="B443" i="2" s="1"/>
  <c r="B446" i="2" s="1"/>
  <c r="R736" i="2"/>
  <c r="B736" i="2" s="1"/>
  <c r="B665" i="2" s="1"/>
  <c r="B202" i="2"/>
  <c r="B211" i="2"/>
  <c r="B630" i="2"/>
  <c r="B661" i="2"/>
  <c r="B171" i="2"/>
  <c r="B160" i="2"/>
  <c r="B235" i="2"/>
  <c r="B247" i="2"/>
  <c r="B159" i="2"/>
  <c r="B150" i="2"/>
  <c r="B415" i="2"/>
  <c r="B391" i="2"/>
  <c r="B456" i="2"/>
  <c r="B447" i="2"/>
  <c r="B320" i="2"/>
  <c r="B309" i="2"/>
  <c r="B774" i="2"/>
  <c r="B778" i="2"/>
  <c r="B346" i="2"/>
  <c r="B340" i="2"/>
  <c r="B66" i="2"/>
  <c r="B60" i="2"/>
  <c r="B49" i="2"/>
  <c r="B39" i="2"/>
  <c r="B227" i="2"/>
  <c r="B217" i="2"/>
  <c r="B772" i="2"/>
  <c r="B738" i="2"/>
  <c r="B201" i="2"/>
  <c r="B172" i="2"/>
  <c r="B508" i="2"/>
  <c r="B503" i="2"/>
  <c r="B308" i="2"/>
  <c r="B300" i="2"/>
  <c r="B137" i="2"/>
  <c r="B67" i="2"/>
  <c r="P445" i="2"/>
  <c r="B228" i="2"/>
  <c r="B234" i="2"/>
  <c r="B321" i="2"/>
  <c r="B329" i="2"/>
  <c r="B299" i="2"/>
  <c r="B248" i="2"/>
  <c r="P335" i="2"/>
  <c r="P4" i="2"/>
  <c r="B15" i="2"/>
  <c r="B38" i="2"/>
  <c r="Q779" i="2"/>
  <c r="R779" i="2" s="1"/>
  <c r="B779" i="2" s="1"/>
  <c r="M779" i="2"/>
  <c r="M445" i="2"/>
  <c r="Q445" i="2"/>
  <c r="B358" i="2"/>
  <c r="B347" i="2"/>
  <c r="Q662" i="2"/>
  <c r="K781" i="2"/>
  <c r="M662" i="2"/>
  <c r="M490" i="2"/>
  <c r="Q490" i="2"/>
  <c r="R490" i="2" s="1"/>
  <c r="B490" i="2" s="1"/>
  <c r="B216" i="2"/>
  <c r="B212" i="2"/>
  <c r="B138" i="2"/>
  <c r="B149" i="2"/>
  <c r="B492" i="2"/>
  <c r="B496" i="2"/>
  <c r="B509" i="2"/>
  <c r="B533" i="2"/>
  <c r="B502" i="2"/>
  <c r="B497" i="2"/>
  <c r="B390" i="2"/>
  <c r="B359" i="2"/>
  <c r="M335" i="2"/>
  <c r="Q335" i="2"/>
  <c r="Q4" i="2"/>
  <c r="B539" i="2"/>
  <c r="B534" i="2"/>
  <c r="B476" i="2"/>
  <c r="B457" i="2"/>
  <c r="I781" i="2"/>
  <c r="P781" i="2" s="1"/>
  <c r="P662" i="2"/>
  <c r="B330" i="2" l="1"/>
  <c r="B489" i="2"/>
  <c r="B737" i="2"/>
  <c r="B548" i="2"/>
  <c r="R445" i="2"/>
  <c r="B445" i="2" s="1"/>
  <c r="B432" i="2"/>
  <c r="Q546" i="2"/>
  <c r="I783" i="2"/>
  <c r="P783" i="2" s="1"/>
  <c r="P542" i="2"/>
  <c r="Q781" i="2"/>
  <c r="R781" i="2" s="1"/>
  <c r="M781" i="2"/>
  <c r="Q540" i="2"/>
  <c r="M540" i="2"/>
  <c r="Q5" i="2"/>
  <c r="R662" i="2"/>
  <c r="B662" i="2" s="1"/>
  <c r="P546" i="2"/>
  <c r="P540" i="2"/>
  <c r="P5" i="2"/>
  <c r="R335" i="2"/>
  <c r="B335" i="2" s="1"/>
  <c r="K783" i="2"/>
  <c r="M542" i="2"/>
  <c r="Q542" i="2"/>
  <c r="P2" i="2" l="1"/>
  <c r="B2" i="2" s="1"/>
  <c r="R546" i="2"/>
  <c r="B546" i="2" s="1"/>
  <c r="B780" i="2" s="1"/>
  <c r="R540" i="2"/>
  <c r="B540" i="2" s="1"/>
  <c r="Q783" i="2"/>
  <c r="R783" i="2" s="1"/>
  <c r="M783" i="2"/>
  <c r="R542" i="2"/>
  <c r="B773" i="2" l="1"/>
  <c r="B545" i="2"/>
  <c r="B782" i="2"/>
  <c r="B781" i="2" s="1"/>
  <c r="B663" i="2"/>
  <c r="B664" i="2"/>
  <c r="B547" i="2"/>
</calcChain>
</file>

<file path=xl/sharedStrings.xml><?xml version="1.0" encoding="utf-8"?>
<sst xmlns="http://schemas.openxmlformats.org/spreadsheetml/2006/main" count="10957" uniqueCount="6838">
  <si>
    <t>Auto+Hide+Hidesheet+DisableCacheTables</t>
  </si>
  <si>
    <t>Title</t>
  </si>
  <si>
    <t>Value</t>
  </si>
  <si>
    <t>Option</t>
  </si>
  <si>
    <t>Fund Filter</t>
  </si>
  <si>
    <t>*</t>
  </si>
  <si>
    <t>Department Filter</t>
  </si>
  <si>
    <t>Fiscal Year End</t>
  </si>
  <si>
    <t>BV Plan</t>
  </si>
  <si>
    <t>BP2026</t>
  </si>
  <si>
    <t>Show GL Account</t>
  </si>
  <si>
    <t>Yes</t>
  </si>
  <si>
    <t>PY BV Plan</t>
  </si>
  <si>
    <t>BP2025|MOD2025</t>
  </si>
  <si>
    <t>Auto+Hide+Values+Formulas=Sheet3,Sheet1,Sheet2</t>
  </si>
  <si>
    <t>HIDE+?</t>
  </si>
  <si>
    <t>HIDE</t>
  </si>
  <si>
    <t>SHOW</t>
  </si>
  <si>
    <t>FIT</t>
  </si>
  <si>
    <t>Guadalupe-Blanco River Authority</t>
  </si>
  <si>
    <t>Work Plan &amp; Budget</t>
  </si>
  <si>
    <t>BUDGET</t>
  </si>
  <si>
    <t>DIFFERENCE</t>
  </si>
  <si>
    <t>OPERATING BUDGET</t>
  </si>
  <si>
    <t>OPERATING REVENUES</t>
  </si>
  <si>
    <t>41101..41118|41120..41128|41130|41134..41137|41139..41199</t>
  </si>
  <si>
    <t>Auto</t>
  </si>
  <si>
    <t>41201..41299</t>
  </si>
  <si>
    <t>41301..41399</t>
  </si>
  <si>
    <t>41401..41499</t>
  </si>
  <si>
    <t>42101..42199</t>
  </si>
  <si>
    <t>42201..42299</t>
  </si>
  <si>
    <t>42301..42399</t>
  </si>
  <si>
    <t>42401..42499</t>
  </si>
  <si>
    <t>42501..42599</t>
  </si>
  <si>
    <t>42701..42789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</si>
  <si>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</si>
  <si>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</si>
  <si>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</si>
  <si>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</si>
  <si>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</si>
  <si>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</si>
  <si>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</si>
  <si>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</si>
  <si>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</si>
  <si>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</si>
  <si>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OPERATING EXPENSES</t>
  </si>
  <si>
    <t>51101..51199</t>
  </si>
  <si>
    <t>51201..51299</t>
  </si>
  <si>
    <t>52101..52199</t>
  </si>
  <si>
    <t>52201..52299</t>
  </si>
  <si>
    <t>52301..52399</t>
  </si>
  <si>
    <t>52401..52499</t>
  </si>
  <si>
    <t>SUBTOTAL OF OPERATIONAL EXPENSES</t>
  </si>
  <si>
    <t>Maintenance and Repair Equipment</t>
  </si>
  <si>
    <t>53101..53199</t>
  </si>
  <si>
    <t>53201..53299</t>
  </si>
  <si>
    <t>53301..53399</t>
  </si>
  <si>
    <t>SUBTOTAL OF M&amp;R EXPENSES</t>
  </si>
  <si>
    <t>54100..54199</t>
  </si>
  <si>
    <t>55001..55099</t>
  </si>
  <si>
    <t>56101..56199</t>
  </si>
  <si>
    <t>13201..13249|61101..61199</t>
  </si>
  <si>
    <t>61501..61549</t>
  </si>
  <si>
    <t>TOTAL OPERATING AND M&amp;R EXPENSES</t>
  </si>
  <si>
    <t>Net Operating Income</t>
  </si>
  <si>
    <t>DEBT SERVICE BUDGET</t>
  </si>
  <si>
    <t>Capacity Charge Revenue</t>
  </si>
  <si>
    <t>41119|41129|41131|41132|41133|41138|42601..42699|42790..42799</t>
  </si>
  <si>
    <t>Internal Loan Revenue</t>
  </si>
  <si>
    <t>24201|12233|12236|12237|125*</t>
  </si>
  <si>
    <t>Total Debt Revenue</t>
  </si>
  <si>
    <t>Principal Payments Expense</t>
  </si>
  <si>
    <t>21101..21199|21201..21299</t>
  </si>
  <si>
    <t>Interest Expense</t>
  </si>
  <si>
    <t>57101..57199|57201..57299</t>
  </si>
  <si>
    <t>61550..61599</t>
  </si>
  <si>
    <t>Total Debt Expense</t>
  </si>
  <si>
    <t>Net Change in Debt Service Budget</t>
  </si>
  <si>
    <t>Net Change in Fund Balance</t>
  </si>
  <si>
    <t>Auto+Hide+Values+Formulas=Sheet1,Sheet2+FormulasOnly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</si>
  <si>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</si>
  <si>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</si>
  <si>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</si>
  <si>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</si>
  <si>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</si>
  <si>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</si>
  <si>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</si>
  <si>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</si>
  <si>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</si>
  <si>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</si>
  <si>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</si>
  <si>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</si>
  <si>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</si>
  <si>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</si>
  <si>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</si>
  <si>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</si>
  <si>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</si>
  <si>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=NL("First","G/L Account","Name","No.",C15)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</si>
  <si>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</si>
  <si>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</si>
  <si>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</si>
  <si>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</si>
  <si>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</si>
  <si>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</si>
  <si>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</si>
  <si>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</si>
  <si>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</si>
  <si>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</si>
  <si>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</si>
  <si>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</si>
  <si>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</si>
  <si>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</si>
  <si>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</si>
  <si>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</si>
  <si>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</si>
  <si>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</si>
  <si>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</si>
  <si>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</si>
  <si>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</si>
  <si>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</si>
  <si>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</si>
  <si>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</si>
  <si>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</si>
  <si>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</si>
  <si>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</si>
  <si>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</si>
  <si>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</si>
  <si>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</si>
  <si>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</si>
  <si>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</si>
  <si>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</si>
  <si>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</si>
  <si>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</si>
  <si>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</si>
  <si>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</si>
  <si>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</si>
  <si>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</si>
  <si>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</si>
  <si>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</si>
  <si>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</si>
  <si>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</si>
  <si>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</si>
  <si>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</si>
  <si>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</si>
  <si>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</si>
  <si>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</si>
  <si>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</si>
  <si>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</si>
  <si>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</si>
  <si>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</si>
  <si>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</si>
  <si>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</si>
  <si>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</si>
  <si>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</si>
  <si>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</si>
  <si>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</si>
  <si>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</si>
  <si>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</si>
  <si>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</si>
  <si>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</si>
  <si>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</si>
  <si>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</si>
  <si>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</si>
  <si>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</si>
  <si>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</si>
  <si>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</si>
  <si>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</si>
  <si>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</si>
  <si>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</si>
  <si>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</si>
  <si>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</si>
  <si>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</si>
  <si>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</si>
  <si>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</si>
  <si>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</si>
  <si>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</si>
  <si>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</si>
  <si>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</si>
  <si>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</si>
  <si>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</si>
  <si>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</si>
  <si>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</si>
  <si>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</si>
  <si>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</si>
  <si>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</si>
  <si>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</si>
  <si>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</si>
  <si>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</si>
  <si>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</si>
  <si>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</si>
  <si>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</si>
  <si>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</si>
  <si>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</si>
  <si>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</si>
  <si>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</si>
  <si>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</si>
  <si>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</si>
  <si>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</si>
  <si>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</si>
  <si>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</si>
  <si>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</si>
  <si>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</si>
  <si>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</si>
  <si>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</si>
  <si>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</si>
  <si>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</si>
  <si>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</si>
  <si>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</si>
  <si>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</si>
  <si>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</si>
  <si>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</si>
  <si>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</si>
  <si>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</si>
  <si>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</si>
  <si>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</si>
  <si>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</si>
  <si>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</si>
  <si>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</si>
  <si>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</si>
  <si>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</si>
  <si>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</si>
  <si>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</si>
  <si>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</si>
  <si>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</si>
  <si>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</si>
  <si>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</si>
  <si>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</si>
  <si>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</si>
  <si>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</si>
  <si>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</si>
  <si>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</si>
  <si>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</si>
  <si>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</si>
  <si>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</si>
  <si>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</si>
  <si>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</si>
  <si>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</si>
  <si>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</si>
  <si>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</si>
  <si>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</si>
  <si>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</si>
  <si>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</si>
  <si>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</si>
  <si>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</si>
  <si>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</si>
  <si>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</si>
  <si>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</si>
  <si>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</si>
  <si>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</si>
  <si>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</si>
  <si>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</si>
  <si>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</si>
  <si>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</si>
  <si>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</si>
  <si>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</si>
  <si>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</si>
  <si>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</si>
  <si>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</si>
  <si>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</si>
  <si>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</si>
  <si>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</si>
  <si>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</si>
  <si>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</si>
  <si>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</si>
  <si>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</si>
  <si>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</si>
  <si>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</si>
  <si>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</si>
  <si>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</si>
  <si>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</si>
  <si>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</si>
  <si>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</si>
  <si>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</si>
  <si>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</si>
  <si>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</si>
  <si>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</si>
  <si>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</si>
  <si>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</si>
  <si>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</si>
  <si>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</si>
  <si>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</si>
  <si>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</si>
  <si>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</si>
  <si>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</si>
  <si>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</si>
  <si>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</si>
  <si>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</si>
  <si>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</si>
  <si>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</si>
  <si>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</si>
  <si>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</si>
  <si>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</si>
  <si>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</si>
  <si>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</si>
  <si>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</si>
  <si>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</si>
  <si>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</si>
  <si>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</si>
  <si>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</si>
  <si>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</si>
  <si>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</si>
  <si>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</si>
  <si>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</si>
  <si>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</si>
  <si>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</si>
  <si>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</si>
  <si>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</si>
  <si>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</si>
  <si>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</si>
  <si>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</si>
  <si>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</si>
  <si>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</si>
  <si>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</si>
  <si>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</si>
  <si>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</si>
  <si>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</si>
  <si>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</si>
  <si>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</si>
  <si>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</si>
  <si>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</si>
  <si>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</si>
  <si>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</si>
  <si>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</si>
  <si>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</si>
  <si>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</si>
  <si>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</si>
  <si>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</si>
  <si>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</si>
  <si>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</si>
  <si>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</si>
  <si>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</si>
  <si>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</si>
  <si>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</si>
  <si>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</si>
  <si>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</si>
  <si>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</si>
  <si>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</si>
  <si>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</si>
  <si>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</si>
  <si>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</si>
  <si>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</si>
  <si>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</si>
  <si>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</si>
  <si>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</si>
  <si>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</si>
  <si>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</si>
  <si>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</si>
  <si>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</si>
  <si>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</si>
  <si>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</si>
  <si>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</si>
  <si>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</si>
  <si>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</si>
  <si>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</si>
  <si>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</si>
  <si>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</si>
  <si>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</si>
  <si>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</si>
  <si>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</si>
  <si>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</si>
  <si>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</si>
  <si>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</si>
  <si>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</si>
  <si>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</si>
  <si>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</si>
  <si>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</si>
  <si>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</si>
  <si>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</si>
  <si>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</si>
  <si>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</si>
  <si>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</si>
  <si>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</si>
  <si>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</si>
  <si>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</si>
  <si>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</si>
  <si>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</si>
  <si>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</si>
  <si>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</si>
  <si>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</si>
  <si>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</si>
  <si>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</si>
  <si>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</si>
  <si>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</si>
  <si>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</si>
  <si>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</si>
  <si>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</si>
  <si>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</si>
  <si>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</si>
  <si>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</si>
  <si>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</si>
  <si>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</si>
  <si>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</si>
  <si>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</si>
  <si>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</si>
  <si>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</si>
  <si>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</si>
  <si>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</si>
  <si>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</si>
  <si>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</si>
  <si>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</si>
  <si>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</si>
  <si>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</si>
  <si>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</si>
  <si>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</si>
  <si>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</si>
  <si>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</si>
  <si>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</si>
  <si>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</si>
  <si>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</si>
  <si>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</si>
  <si>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</si>
  <si>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</si>
  <si>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</si>
  <si>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</si>
  <si>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</si>
  <si>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</si>
  <si>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</si>
  <si>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</si>
  <si>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</si>
  <si>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</si>
  <si>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</si>
  <si>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</si>
  <si>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</si>
  <si>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</si>
  <si>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</si>
  <si>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</si>
  <si>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</si>
  <si>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</si>
  <si>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</si>
  <si>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</si>
  <si>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</si>
  <si>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</si>
  <si>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</si>
  <si>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</si>
  <si>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</si>
  <si>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</si>
  <si>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</si>
  <si>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</si>
  <si>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</si>
  <si>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</si>
  <si>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</si>
  <si>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</si>
  <si>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</si>
  <si>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</si>
  <si>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</si>
  <si>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</si>
  <si>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</si>
  <si>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</si>
  <si>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</si>
  <si>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</si>
  <si>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</si>
  <si>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</si>
  <si>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</si>
  <si>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</si>
  <si>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</si>
  <si>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</si>
  <si>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</si>
  <si>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</si>
  <si>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</si>
  <si>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</si>
  <si>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</si>
  <si>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</si>
  <si>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</si>
  <si>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</si>
  <si>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</si>
  <si>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</si>
  <si>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</si>
  <si>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</si>
  <si>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</si>
  <si>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</si>
  <si>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</si>
  <si>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</si>
  <si>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</si>
  <si>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</si>
  <si>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</si>
  <si>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</si>
  <si>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</si>
  <si>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</si>
  <si>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</si>
  <si>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</si>
  <si>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</si>
  <si>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</si>
  <si>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</si>
  <si>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</si>
  <si>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</si>
  <si>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</si>
  <si>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</si>
  <si>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</si>
  <si>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</si>
  <si>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</si>
  <si>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</si>
  <si>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</si>
  <si>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</si>
  <si>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</si>
  <si>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</si>
  <si>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</si>
  <si>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</si>
  <si>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</si>
  <si>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</si>
  <si>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</si>
  <si>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</si>
  <si>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</si>
  <si>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</si>
  <si>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</si>
  <si>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</si>
  <si>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</si>
  <si>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</si>
  <si>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</si>
  <si>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</si>
  <si>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</si>
  <si>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</si>
  <si>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</si>
  <si>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</si>
  <si>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</si>
  <si>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</si>
  <si>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</si>
  <si>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</si>
  <si>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</si>
  <si>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</si>
  <si>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</si>
  <si>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</si>
  <si>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</si>
  <si>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</si>
  <si>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</si>
  <si>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</si>
  <si>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</si>
  <si>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</si>
  <si>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</si>
  <si>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</si>
  <si>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</si>
  <si>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</si>
  <si>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</si>
  <si>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</si>
  <si>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</si>
  <si>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</si>
  <si>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</si>
  <si>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</si>
  <si>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</si>
  <si>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</si>
  <si>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</si>
  <si>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</si>
  <si>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</si>
  <si>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</si>
  <si>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</si>
  <si>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</si>
  <si>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</si>
  <si>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</si>
  <si>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</si>
  <si>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</si>
  <si>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</si>
  <si>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</si>
  <si>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</si>
  <si>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</si>
  <si>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</si>
  <si>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</si>
  <si>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</si>
  <si>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</si>
  <si>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</si>
  <si>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</si>
  <si>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</si>
  <si>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</si>
  <si>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</si>
  <si>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</si>
  <si>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</si>
  <si>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</si>
  <si>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</si>
  <si>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</si>
  <si>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</si>
  <si>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</si>
  <si>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</si>
  <si>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</si>
  <si>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</si>
  <si>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</si>
  <si>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</si>
  <si>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</si>
  <si>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</si>
  <si>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</si>
  <si>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</si>
  <si>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</si>
  <si>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</si>
  <si>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</si>
  <si>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</si>
  <si>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</si>
  <si>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</si>
  <si>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</si>
  <si>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</si>
  <si>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</si>
  <si>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</si>
  <si>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</si>
  <si>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</si>
  <si>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</si>
  <si>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</si>
  <si>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</si>
  <si>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</si>
  <si>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</si>
  <si>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</si>
  <si>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</si>
  <si>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</si>
  <si>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</si>
  <si>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</si>
  <si>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</si>
  <si>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</si>
  <si>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</si>
  <si>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</si>
  <si>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</si>
  <si>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</si>
  <si>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</si>
  <si>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</si>
  <si>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</si>
  <si>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</si>
  <si>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</si>
  <si>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</si>
  <si>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</si>
  <si>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</si>
  <si>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</si>
  <si>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</si>
  <si>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</si>
  <si>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</si>
  <si>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</si>
  <si>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</si>
  <si>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</si>
  <si>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</si>
  <si>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</si>
  <si>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</si>
  <si>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</si>
  <si>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</si>
  <si>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</si>
  <si>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</si>
  <si>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</si>
  <si>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</si>
  <si>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</si>
  <si>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</si>
  <si>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</si>
  <si>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</si>
  <si>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</si>
  <si>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</si>
  <si>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</si>
  <si>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</si>
  <si>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</si>
  <si>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</si>
  <si>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</si>
  <si>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</si>
  <si>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</si>
  <si>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</si>
  <si>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</si>
  <si>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</si>
  <si>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</si>
  <si>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</si>
  <si>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</si>
  <si>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</si>
  <si>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</si>
  <si>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</si>
  <si>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</si>
  <si>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</si>
  <si>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</si>
  <si>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</si>
  <si>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</si>
  <si>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</si>
  <si>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</si>
  <si>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</si>
  <si>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</si>
  <si>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</si>
  <si>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</si>
  <si>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</si>
  <si>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</si>
  <si>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</si>
  <si>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</si>
  <si>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</si>
  <si>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</si>
  <si>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</si>
  <si>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</si>
  <si>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</si>
  <si>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</si>
  <si>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</si>
  <si>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</si>
  <si>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</si>
  <si>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</si>
  <si>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</si>
  <si>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</si>
  <si>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</si>
  <si>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</si>
  <si>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</si>
  <si>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</si>
  <si>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</si>
  <si>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</si>
  <si>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</si>
  <si>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</si>
  <si>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</si>
  <si>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</si>
  <si>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</si>
  <si>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</si>
  <si>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</si>
  <si>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</si>
  <si>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</si>
  <si>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</si>
  <si>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</si>
  <si>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</si>
  <si>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</si>
  <si>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</si>
  <si>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</si>
  <si>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</si>
  <si>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</si>
  <si>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</si>
  <si>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</si>
  <si>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</si>
  <si>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</si>
  <si>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</si>
  <si>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</si>
  <si>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</si>
  <si>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</si>
  <si>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</si>
  <si>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</si>
  <si>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</si>
  <si>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</si>
  <si>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</si>
  <si>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</si>
  <si>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</si>
  <si>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</si>
  <si>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</si>
  <si>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</si>
  <si>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</si>
  <si>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</si>
  <si>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</si>
  <si>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</si>
  <si>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</si>
  <si>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</si>
  <si>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</si>
  <si>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</si>
  <si>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</si>
  <si>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</si>
  <si>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</si>
  <si>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</si>
  <si>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</si>
  <si>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</si>
  <si>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</si>
  <si>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</si>
  <si>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</si>
  <si>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</si>
  <si>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</si>
  <si>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</si>
  <si>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</si>
  <si>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</si>
  <si>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</si>
  <si>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</si>
  <si>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</si>
  <si>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</si>
  <si>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</si>
  <si>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</si>
  <si>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</si>
  <si>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</si>
  <si>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</si>
  <si>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</si>
  <si>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</si>
  <si>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</si>
  <si>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</si>
  <si>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</si>
  <si>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</si>
  <si>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</si>
  <si>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</si>
  <si>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</si>
  <si>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</si>
  <si>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</si>
  <si>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</si>
  <si>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</si>
  <si>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</si>
  <si>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</si>
  <si>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</si>
  <si>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</si>
  <si>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</si>
  <si>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</si>
  <si>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</si>
  <si>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</si>
  <si>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</si>
  <si>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</si>
  <si>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</si>
  <si>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</si>
  <si>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</si>
  <si>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</si>
  <si>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</si>
  <si>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</si>
  <si>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</si>
  <si>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</si>
  <si>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</si>
  <si>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</si>
  <si>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</si>
  <si>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</si>
  <si>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</si>
  <si>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</si>
  <si>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</si>
  <si>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</si>
  <si>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</si>
  <si>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</si>
  <si>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</si>
  <si>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</si>
  <si>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</si>
  <si>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</si>
  <si>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</si>
  <si>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</si>
  <si>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</si>
  <si>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</si>
  <si>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</si>
  <si>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</si>
  <si>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</si>
  <si>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</si>
  <si>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</si>
  <si>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</si>
  <si>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</si>
  <si>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</si>
  <si>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</si>
  <si>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</si>
  <si>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</si>
  <si>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</si>
  <si>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</si>
  <si>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</si>
  <si>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</si>
  <si>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</si>
  <si>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</si>
  <si>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</si>
  <si>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</si>
  <si>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=P207+P226</t>
  </si>
  <si>
    <t>=Q207+Q226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</si>
  <si>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</si>
  <si>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</si>
  <si>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</si>
  <si>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</si>
  <si>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</si>
  <si>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</si>
  <si>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</si>
  <si>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</si>
  <si>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</si>
  <si>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</si>
  <si>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</si>
  <si>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</si>
  <si>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</si>
  <si>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</si>
  <si>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</si>
  <si>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</si>
  <si>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</si>
  <si>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</si>
  <si>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</si>
  <si>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</si>
  <si>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</si>
  <si>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</si>
  <si>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</si>
  <si>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</si>
  <si>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</si>
  <si>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</si>
  <si>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</si>
  <si>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</si>
  <si>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</si>
  <si>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</si>
  <si>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</si>
  <si>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</si>
  <si>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</si>
  <si>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</si>
  <si>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</si>
  <si>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</si>
  <si>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</si>
  <si>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</si>
  <si>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</si>
  <si>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</si>
  <si>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</si>
  <si>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</si>
  <si>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</si>
  <si>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</si>
  <si>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</si>
  <si>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</si>
  <si>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</si>
  <si>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</si>
  <si>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</si>
  <si>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</si>
  <si>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</si>
  <si>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</si>
  <si>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</si>
  <si>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</si>
  <si>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</si>
  <si>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</si>
  <si>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</si>
  <si>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</si>
  <si>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</si>
  <si>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</si>
  <si>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</si>
  <si>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</si>
  <si>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</si>
  <si>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</si>
  <si>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</si>
  <si>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</si>
  <si>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</si>
  <si>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</si>
  <si>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</si>
  <si>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</si>
  <si>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</si>
  <si>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</si>
  <si>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</si>
  <si>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</si>
  <si>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</si>
  <si>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</si>
  <si>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</si>
  <si>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</si>
  <si>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</si>
  <si>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</si>
  <si>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</si>
  <si>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</si>
  <si>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</si>
  <si>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</si>
  <si>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=B224</t>
  </si>
  <si>
    <t>=NL("First","G/L Account","Name","No.",C221)</t>
  </si>
  <si>
    <t>=IF(R222=0,"HIDE","SHOW")</t>
  </si>
  <si>
    <t>=NL("Rows","G/L Account",,"No.",C222,"Account Type","Posting")</t>
  </si>
  <si>
    <t>=NF(D222,"No.")</t>
  </si>
  <si>
    <t>=NF(D222,"Name")</t>
  </si>
  <si>
    <t>=NL("Sum","G/L Entry","Amount","Fund No.",$C$4,"Budget Plan No.",PYPLAN_FILTER,"G/L Account No.",$E222,"Department Code",Dept_Filter,"Transaction Type","Budget")</t>
  </si>
  <si>
    <t>=NL("Sum","Version LIne Worksheet","Amount","Fund No.",$C$4,"Plan No.",Plan_Filter,"G/L Account No.",$E222,"Department Code",Dept_Filter)</t>
  </si>
  <si>
    <t>=K222-I222</t>
  </si>
  <si>
    <t>=IF(I222=0,0,1)</t>
  </si>
  <si>
    <t>=IF(K222=0,0,1)</t>
  </si>
  <si>
    <t>=P222+Q222</t>
  </si>
  <si>
    <t>=IF(R224=0,"HIDE","SHOW")</t>
  </si>
  <si>
    <t>=CONCATENATE("Total ",F221)</t>
  </si>
  <si>
    <t>=SUM(I222:I223)</t>
  </si>
  <si>
    <t>=SUM(K222:K223)</t>
  </si>
  <si>
    <t>=K224-I224</t>
  </si>
  <si>
    <t>=IF(I224=0,0,1)</t>
  </si>
  <si>
    <t>=IF(K224=0,0,1)</t>
  </si>
  <si>
    <t>=P224+Q224</t>
  </si>
  <si>
    <t>=IF(R226=0,"HIDE","SHOW")</t>
  </si>
  <si>
    <t>=I213+I218+I224</t>
  </si>
  <si>
    <t>=K213+K218+K224</t>
  </si>
  <si>
    <t>=K226-I226</t>
  </si>
  <si>
    <t>=IF(I226=0,0,1)</t>
  </si>
  <si>
    <t>=IF(K226=0,0,1)</t>
  </si>
  <si>
    <t>=P226+Q226</t>
  </si>
  <si>
    <t>=B229</t>
  </si>
  <si>
    <t>=I207-I226</t>
  </si>
  <si>
    <t>=K207-K226</t>
  </si>
  <si>
    <t>=K228-I228</t>
  </si>
  <si>
    <t>=IF(I228=0,0,1)</t>
  </si>
  <si>
    <t>=IF(K228=0,0,1)</t>
  </si>
  <si>
    <t>=P228+Q228</t>
  </si>
  <si>
    <t>=I191+I228</t>
  </si>
  <si>
    <t>=K191+K228</t>
  </si>
  <si>
    <t>=K230-I230</t>
  </si>
  <si>
    <t>=IF(I230=0,0,1)</t>
  </si>
  <si>
    <t>=IF(K230=0,0,1)</t>
  </si>
  <si>
    <t>=P230+Q230</t>
  </si>
  <si>
    <t>�</t>
  </si>
  <si>
    <t>Auto+Hide+Values+Formulas=Sheet3,Sheet1,Sheet2+FormulasOnly</t>
  </si>
  <si>
    <t>=IF(I335=0,0,1)</t>
  </si>
  <si>
    <t>=IF(K335=0,0,1)</t>
  </si>
  <si>
    <t>=IF(I540=0,0,1)</t>
  </si>
  <si>
    <t>=IF(K540=0,0,1)</t>
  </si>
  <si>
    <t>=B37</t>
  </si>
  <si>
    <t>=IF(R17=0,"HIDE","SHOW")</t>
  </si>
  <si>
    <t>="""Mission ERP"",""GBRA"",""15"",""1"",""41102"""</t>
  </si>
  <si>
    <t>=TEXT(NF(D17,"No."),"00000")</t>
  </si>
  <si>
    <t>=NF(D17,"Name")</t>
  </si>
  <si>
    <t>=NL("Sum","G/L Entry","Amount","Fund No.",$C$4,"Budget Plan No.",PYPLAN_FILTER,"G/L Account No.",$E17,"Department Code",Dept_Filter,"Transaction Type","Budget")*-1</t>
  </si>
  <si>
    <t>=NL("Sum","Version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</si>
  <si>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</si>
  <si>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</si>
  <si>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</si>
  <si>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</si>
  <si>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="""Mission ERP"",""GBRA"",""15"",""1"",""41103"""</t>
  </si>
  <si>
    <t>=TEXT(NF(D18,"No."),"00000")</t>
  </si>
  <si>
    <t>=NF(D18,"Name")</t>
  </si>
  <si>
    <t>=NL("Sum","G/L Entry","Amount","Fund No.",$C$4,"Budget Plan No.",PYPLAN_FILTER,"G/L Account No.",$E18,"Department Code",Dept_Filter,"Transaction Type","Budget")*-1</t>
  </si>
  <si>
    <t>=NL("Sum","Version Line Worksheet","Amount","Fund No.",$C$4,"Plan No.",Plan_Filter,"G/L Account No.",$E18,"Department Code",Dept_Filter)*-1</t>
  </si>
  <si>
    <t>=IF(R19=0,"HIDE","SHOW")</t>
  </si>
  <si>
    <t>="""Mission ERP"",""GBRA"",""15"",""1"",""41110"""</t>
  </si>
  <si>
    <t>=TEXT(NF(D19,"No."),"00000")</t>
  </si>
  <si>
    <t>=NF(D19,"Name")</t>
  </si>
  <si>
    <t>=NL("Sum","G/L Entry","Amount","Fund No.",$C$4,"Budget Plan No.",PYPLAN_FILTER,"G/L Account No.",$E19,"Department Code",Dept_Filter,"Transaction Type","Budget")*-1</t>
  </si>
  <si>
    <t>=NL("Sum","Version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</si>
  <si>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</si>
  <si>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</si>
  <si>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</si>
  <si>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</si>
  <si>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</si>
  <si>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="""Mission ERP"",""GBRA"",""15"",""1"",""41111"""</t>
  </si>
  <si>
    <t>=TEXT(NF(D20,"No."),"00000")</t>
  </si>
  <si>
    <t>=NF(D20,"Name")</t>
  </si>
  <si>
    <t>=NL("Sum","G/L Entry","Amount","Fund No.",$C$4,"Budget Plan No.",PYPLAN_FILTER,"G/L Account No.",$E20,"Department Code",Dept_Filter,"Transaction Type","Budget")*-1</t>
  </si>
  <si>
    <t>=NL("Sum","Version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</si>
  <si>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</si>
  <si>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</si>
  <si>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</si>
  <si>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</si>
  <si>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="""Mission ERP"",""GBRA"",""15"",""1"",""41112"""</t>
  </si>
  <si>
    <t>=TEXT(NF(D21,"No."),"00000")</t>
  </si>
  <si>
    <t>=NL("Sum","Version Line Worksheet","Amount","Fund No.",$C$4,"Plan No.",Plan_Filter,"G/L Account No.",$E21,"Department Code",Dept_Filter)*-1</t>
  </si>
  <si>
    <t>=IF(R22=0,"HIDE","SHOW")</t>
  </si>
  <si>
    <t>="""Mission ERP"",""GBRA"",""15"",""1"",""41113"""</t>
  </si>
  <si>
    <t>=TEXT(NF(D22,"No."),"00000")</t>
  </si>
  <si>
    <t>=NF(D22,"Name")</t>
  </si>
  <si>
    <t>=NL("Sum","G/L Entry","Amount","Fund No.",$C$4,"Budget Plan No.",PYPLAN_FILTER,"G/L Account No.",$E22,"Department Code",Dept_Filter,"Transaction Type","Budget")*-1</t>
  </si>
  <si>
    <t>=NL("Sum","Version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</si>
  <si>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</si>
  <si>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</si>
  <si>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</si>
  <si>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</si>
  <si>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="""Mission ERP"",""GBRA"",""15"",""1"",""41115"""</t>
  </si>
  <si>
    <t>=TEXT(NF(D23,"No."),"00000")</t>
  </si>
  <si>
    <t>=NF(D23,"Name")</t>
  </si>
  <si>
    <t>=NL("Sum","G/L Entry","Amount","Fund No.",$C$4,"Budget Plan No.",PYPLAN_FILTER,"G/L Account No.",$E23,"Department Code",Dept_Filter,"Transaction Type","Budget")*-1</t>
  </si>
  <si>
    <t>=NL("Sum","Version Line Worksheet","Amount","Fund No.",$C$4,"Plan No.",Plan_Filter,"G/L Account No.",$E23,"Department Code",Dept_Filter)*-1</t>
  </si>
  <si>
    <t>=IF(R24=0,"HIDE","SHOW")</t>
  </si>
  <si>
    <t>="""Mission ERP"",""GBRA"",""15"",""1"",""41116"""</t>
  </si>
  <si>
    <t>=TEXT(NF(D24,"No."),"00000")</t>
  </si>
  <si>
    <t>=NF(D24,"Name")</t>
  </si>
  <si>
    <t>=NL("Sum","G/L Entry","Amount","Fund No.",$C$4,"Budget Plan No.",PYPLAN_FILTER,"G/L Account No.",$E24,"Department Code",Dept_Filter,"Transaction Type","Budget")*-1</t>
  </si>
  <si>
    <t>=NL("Sum","Version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</si>
  <si>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</si>
  <si>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</si>
  <si>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</si>
  <si>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</si>
  <si>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</si>
  <si>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="""Mission ERP"",""GBRA"",""15"",""1"",""41117"""</t>
  </si>
  <si>
    <t>=TEXT(NF(D25,"No."),"00000")</t>
  </si>
  <si>
    <t>=NF(D25,"Name")</t>
  </si>
  <si>
    <t>=NL("Sum","G/L Entry","Amount","Fund No.",$C$4,"Budget Plan No.",PYPLAN_FILTER,"G/L Account No.",$E25,"Department Code",Dept_Filter,"Transaction Type","Budget")*-1</t>
  </si>
  <si>
    <t>=NL("Sum","Version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</si>
  <si>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</si>
  <si>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</si>
  <si>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</si>
  <si>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</si>
  <si>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="""Mission ERP"",""GBRA"",""15"",""1"",""41118"""</t>
  </si>
  <si>
    <t>=TEXT(NF(D26,"No."),"00000")</t>
  </si>
  <si>
    <t>=NL("Sum","Version Line Worksheet","Amount","Fund No.",$C$4,"Plan No.",Plan_Filter,"G/L Account No.",$E26,"Department Code",Dept_Filter)*-1</t>
  </si>
  <si>
    <t>=IF(R27=0,"HIDE","SHOW")</t>
  </si>
  <si>
    <t>="""Mission ERP"",""GBRA"",""15"",""1"",""41125"""</t>
  </si>
  <si>
    <t>=TEXT(NF(D27,"No."),"00000")</t>
  </si>
  <si>
    <t>=NF(D27,"Name")</t>
  </si>
  <si>
    <t>=NL("Sum","G/L Entry","Amount","Fund No.",$C$4,"Budget Plan No.",PYPLAN_FILTER,"G/L Account No.",$E27,"Department Code",Dept_Filter,"Transaction Type","Budget")*-1</t>
  </si>
  <si>
    <t>=NL("Sum","Version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</si>
  <si>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</si>
  <si>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</si>
  <si>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</si>
  <si>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</si>
  <si>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="""Mission ERP"",""GBRA"",""15"",""1"",""41126"""</t>
  </si>
  <si>
    <t>=TEXT(NF(D28,"No."),"00000")</t>
  </si>
  <si>
    <t>=NF(D28,"Name")</t>
  </si>
  <si>
    <t>=NL("Sum","G/L Entry","Amount","Fund No.",$C$4,"Budget Plan No.",PYPLAN_FILTER,"G/L Account No.",$E28,"Department Code",Dept_Filter,"Transaction Type","Budget")*-1</t>
  </si>
  <si>
    <t>=NL("Sum","Version Line Worksheet","Amount","Fund No.",$C$4,"Plan No.",Plan_Filter,"G/L Account No.",$E28,"Department Code",Dept_Filter)*-1</t>
  </si>
  <si>
    <t>=IF(R29=0,"HIDE","SHOW")</t>
  </si>
  <si>
    <t>="""Mission ERP"",""GBRA"",""15"",""1"",""41127"""</t>
  </si>
  <si>
    <t>=TEXT(NF(D29,"No."),"00000")</t>
  </si>
  <si>
    <t>=NF(D29,"Name")</t>
  </si>
  <si>
    <t>=NL("Sum","G/L Entry","Amount","Fund No.",$C$4,"Budget Plan No.",PYPLAN_FILTER,"G/L Account No.",$E29,"Department Code",Dept_Filter,"Transaction Type","Budget")*-1</t>
  </si>
  <si>
    <t>=NL("Sum","Version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</si>
  <si>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</si>
  <si>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</si>
  <si>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</si>
  <si>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</si>
  <si>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</si>
  <si>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="""Mission ERP"",""GBRA"",""15"",""1"",""41128"""</t>
  </si>
  <si>
    <t>=TEXT(NF(D30,"No."),"00000")</t>
  </si>
  <si>
    <t>=NF(D30,"Name")</t>
  </si>
  <si>
    <t>=NL("Sum","G/L Entry","Amount","Fund No.",$C$4,"Budget Plan No.",PYPLAN_FILTER,"G/L Account No.",$E30,"Department Code",Dept_Filter,"Transaction Type","Budget")*-1</t>
  </si>
  <si>
    <t>=NL("Sum","Version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</si>
  <si>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</si>
  <si>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</si>
  <si>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</si>
  <si>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</si>
  <si>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="""Mission ERP"",""GBRA"",""15"",""1"",""41130"""</t>
  </si>
  <si>
    <t>=TEXT(NF(D31,"No."),"00000")</t>
  </si>
  <si>
    <t>=NL("Sum","Version Line Worksheet","Amount","Fund No.",$C$4,"Plan No.",Plan_Filter,"G/L Account No.",$E31,"Department Code",Dept_Filter)*-1</t>
  </si>
  <si>
    <t>=IF(R32=0,"HIDE","SHOW")</t>
  </si>
  <si>
    <t>="""Mission ERP"",""GBRA"",""15"",""1"",""41134"""</t>
  </si>
  <si>
    <t>=TEXT(NF(D32,"No."),"00000")</t>
  </si>
  <si>
    <t>=NF(D32,"Name")</t>
  </si>
  <si>
    <t>=NL("Sum","G/L Entry","Amount","Fund No.",$C$4,"Budget Plan No.",PYPLAN_FILTER,"G/L Account No.",$E32,"Department Code",Dept_Filter,"Transaction Type","Budget")*-1</t>
  </si>
  <si>
    <t>=NL("Sum","Version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</si>
  <si>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</si>
  <si>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</si>
  <si>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</si>
  <si>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</si>
  <si>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="""Mission ERP"",""GBRA"",""15"",""1"",""41135"""</t>
  </si>
  <si>
    <t>=TEXT(NF(D33,"No."),"00000")</t>
  </si>
  <si>
    <t>=NF(D33,"Name")</t>
  </si>
  <si>
    <t>=NL("Sum","G/L Entry","Amount","Fund No.",$C$4,"Budget Plan No.",PYPLAN_FILTER,"G/L Account No.",$E33,"Department Code",Dept_Filter,"Transaction Type","Budget")*-1</t>
  </si>
  <si>
    <t>=NL("Sum","Version Line Worksheet","Amount","Fund No.",$C$4,"Plan No.",Plan_Filter,"G/L Account No.",$E33,"Department Code",Dept_Filter)*-1</t>
  </si>
  <si>
    <t>=IF(R34=0,"HIDE","SHOW")</t>
  </si>
  <si>
    <t>="""Mission ERP"",""GBRA"",""15"",""1"",""41136"""</t>
  </si>
  <si>
    <t>=TEXT(NF(D34,"No."),"00000")</t>
  </si>
  <si>
    <t>=NF(D34,"Name")</t>
  </si>
  <si>
    <t>=NL("Sum","G/L Entry","Amount","Fund No.",$C$4,"Budget Plan No.",PYPLAN_FILTER,"G/L Account No.",$E34,"Department Code",Dept_Filter,"Transaction Type","Budget")*-1</t>
  </si>
  <si>
    <t>=NL("Sum","Version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</si>
  <si>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</si>
  <si>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</si>
  <si>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</si>
  <si>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</si>
  <si>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</si>
  <si>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="""Mission ERP"",""GBRA"",""15"",""1"",""41137"""</t>
  </si>
  <si>
    <t>=TEXT(NF(D35,"No."),"00000")</t>
  </si>
  <si>
    <t>=NF(D35,"Name")</t>
  </si>
  <si>
    <t>=NL("Sum","G/L Entry","Amount","Fund No.",$C$4,"Budget Plan No.",PYPLAN_FILTER,"G/L Account No.",$E35,"Department Code",Dept_Filter,"Transaction Type","Budget")*-1</t>
  </si>
  <si>
    <t>=NL("Sum","Version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</si>
  <si>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</si>
  <si>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</si>
  <si>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</si>
  <si>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</si>
  <si>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</si>
  <si>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</si>
  <si>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</si>
  <si>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</si>
  <si>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</si>
  <si>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</si>
  <si>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</si>
  <si>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</si>
  <si>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</si>
  <si>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</si>
  <si>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=NF(D40,"No.")</t>
  </si>
  <si>
    <t>=NF(D40,"Name")</t>
  </si>
  <si>
    <t>=NL("Sum","G/L Entry","Amount","Fund No.",$C$4,"Budget Plan No.",PYPLAN_FILTER,"G/L Account No.",$E40,"Department Code",Dept_Filter,"Transaction Type","Budget")*-1</t>
  </si>
  <si>
    <t>=NL("Sum","Version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</si>
  <si>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</si>
  <si>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</si>
  <si>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</si>
  <si>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</si>
  <si>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="""Mission ERP"",""GBRA"",""15"",""1"",""41202"""</t>
  </si>
  <si>
    <t>=IF(R42=0,"HIDE","SHOW")</t>
  </si>
  <si>
    <t>="""Mission ERP"",""GBRA"",""15"",""1"",""41203"""</t>
  </si>
  <si>
    <t>=NF(D42,"No.")</t>
  </si>
  <si>
    <t>=NF(D42,"Name")</t>
  </si>
  <si>
    <t>=NL("Sum","G/L Entry","Amount","Fund No.",$C$4,"Budget Plan No.",PYPLAN_FILTER,"G/L Account No.",$E42,"Department Code",Dept_Filter,"Transaction Type","Budget")*-1</t>
  </si>
  <si>
    <t>=NL("Sum","Version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</si>
  <si>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</si>
  <si>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</si>
  <si>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</si>
  <si>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</si>
  <si>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="""Mission ERP"",""GBRA"",""15"",""1"",""41204"""</t>
  </si>
  <si>
    <t>=NF(D43,"No.")</t>
  </si>
  <si>
    <t>=NF(D43,"Name")</t>
  </si>
  <si>
    <t>=NL("Sum","G/L Entry","Amount","Fund No.",$C$4,"Budget Plan No.",PYPLAN_FILTER,"G/L Account No.",$E43,"Department Code",Dept_Filter,"Transaction Type","Budget")*-1</t>
  </si>
  <si>
    <t>=NL("Sum","Version LIne Worksheet","Amount","Fund No.",$C$4,"Plan No.",Plan_Filter,"G/L Account No.",$E43,"Department Code",Dept_Filter)*-1</t>
  </si>
  <si>
    <t>=IF(R44=0,"HIDE","SHOW")</t>
  </si>
  <si>
    <t>="""Mission ERP"",""GBRA"",""15"",""1"",""41205"""</t>
  </si>
  <si>
    <t>=NF(D44,"No.")</t>
  </si>
  <si>
    <t>=NF(D44,"Name")</t>
  </si>
  <si>
    <t>=NL("Sum","G/L Entry","Amount","Fund No.",$C$4,"Budget Plan No.",PYPLAN_FILTER,"G/L Account No.",$E44,"Department Code",Dept_Filter,"Transaction Type","Budget")*-1</t>
  </si>
  <si>
    <t>=NL("Sum","Version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</si>
  <si>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</si>
  <si>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</si>
  <si>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</si>
  <si>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</si>
  <si>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</si>
  <si>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="""Mission ERP"",""GBRA"",""15"",""1"",""41207"""</t>
  </si>
  <si>
    <t>=NF(D45,"No.")</t>
  </si>
  <si>
    <t>=NF(D45,"Name")</t>
  </si>
  <si>
    <t>=NL("Sum","G/L Entry","Amount","Fund No.",$C$4,"Budget Plan No.",PYPLAN_FILTER,"G/L Account No.",$E45,"Department Code",Dept_Filter,"Transaction Type","Budget")*-1</t>
  </si>
  <si>
    <t>=NL("Sum","Version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</si>
  <si>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</si>
  <si>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</si>
  <si>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</si>
  <si>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</si>
  <si>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="""Mission ERP"",""GBRA"",""15"",""1"",""41208"""</t>
  </si>
  <si>
    <t>=CONCATENATE("Total ",F39)</t>
  </si>
  <si>
    <t>=SUM(I40:I47)</t>
  </si>
  <si>
    <t>=SUM(K40:K47)</t>
  </si>
  <si>
    <t>=B59</t>
  </si>
  <si>
    <t>=IF(R52=0,"HIDE","SHOW")</t>
  </si>
  <si>
    <t>="""Mission ERP"",""GBRA"",""15"",""1"",""41302"""</t>
  </si>
  <si>
    <t>=NF(D52,"No.")</t>
  </si>
  <si>
    <t>=NF(D52,"Name")</t>
  </si>
  <si>
    <t>=NL("Sum","G/L Entry","Amount","Fund No.",$C$4,"Budget Plan No.",PYPLAN_FILTER,"G/L Account No.",$E52,"Department Code",Dept_Filter,"Transaction Type","Budget")*-1</t>
  </si>
  <si>
    <t>=NL("Sum","Version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</si>
  <si>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</si>
  <si>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</si>
  <si>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</si>
  <si>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</si>
  <si>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="""Mission ERP"",""GBRA"",""15"",""1"",""41303"""</t>
  </si>
  <si>
    <t>=NF(D53,"No.")</t>
  </si>
  <si>
    <t>=NF(D53,"Name")</t>
  </si>
  <si>
    <t>=NL("Sum","G/L Entry","Amount","Fund No.",$C$4,"Budget Plan No.",PYPLAN_FILTER,"G/L Account No.",$E53,"Department Code",Dept_Filter,"Transaction Type","Budget")*-1</t>
  </si>
  <si>
    <t>=NL("Sum","Version LIne Worksheet","Amount","Fund No.",$C$4,"Plan No.",Plan_Filter,"G/L Account No.",$E53,"Department Code",Dept_Filter)*-1</t>
  </si>
  <si>
    <t>=IF(R54=0,"HIDE","SHOW")</t>
  </si>
  <si>
    <t>="""Mission ERP"",""GBRA"",""15"",""1"",""41304"""</t>
  </si>
  <si>
    <t>=NF(D54,"No.")</t>
  </si>
  <si>
    <t>=NF(D54,"Name")</t>
  </si>
  <si>
    <t>=NL("Sum","G/L Entry","Amount","Fund No.",$C$4,"Budget Plan No.",PYPLAN_FILTER,"G/L Account No.",$E54,"Department Code",Dept_Filter,"Transaction Type","Budget")*-1</t>
  </si>
  <si>
    <t>=NL("Sum","Version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</si>
  <si>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</si>
  <si>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</si>
  <si>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</si>
  <si>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</si>
  <si>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</si>
  <si>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="""Mission ERP"",""GBRA"",""15"",""1"",""41320"""</t>
  </si>
  <si>
    <t>=NF(D55,"No.")</t>
  </si>
  <si>
    <t>=NF(D55,"Name")</t>
  </si>
  <si>
    <t>=NL("Sum","G/L Entry","Amount","Fund No.",$C$4,"Budget Plan No.",PYPLAN_FILTER,"G/L Account No.",$E55,"Department Code",Dept_Filter,"Transaction Type","Budget")*-1</t>
  </si>
  <si>
    <t>=NL("Sum","Version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</si>
  <si>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</si>
  <si>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</si>
  <si>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</si>
  <si>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</si>
  <si>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="""Mission ERP"",""GBRA"",""15"",""1"",""41321"""</t>
  </si>
  <si>
    <t>=IF(R57=0,"HIDE","SHOW")</t>
  </si>
  <si>
    <t>="""Mission ERP"",""GBRA"",""15"",""1"",""41322"""</t>
  </si>
  <si>
    <t>=NF(D57,"No.")</t>
  </si>
  <si>
    <t>=NF(D57,"Name")</t>
  </si>
  <si>
    <t>=NL("Sum","G/L Entry","Amount","Fund No.",$C$4,"Budget Plan No.",PYPLAN_FILTER,"G/L Account No.",$E57,"Department Code",Dept_Filter,"Transaction Type","Budget")*-1</t>
  </si>
  <si>
    <t>=NL("Sum","Version LIne Worksheet","Amount","Fund No.",$C$4,"Plan No.",Plan_Filter,"G/L Account No.",$E57,"Department Code",Dept_Filter)*-1</t>
  </si>
  <si>
    <t>=K57-I57</t>
  </si>
  <si>
    <t>=IF(I57=0,0,1)</t>
  </si>
  <si>
    <t>=IF(K57=0,0,1)</t>
  </si>
  <si>
    <t>=P57+Q57</t>
  </si>
  <si>
    <t>=IF(R59=0,"HIDE","SHOW")</t>
  </si>
  <si>
    <t>=SUM(I51:I58)</t>
  </si>
  <si>
    <t>=SUM(K51:K58)</t>
  </si>
  <si>
    <t>=K59-I59</t>
  </si>
  <si>
    <t>=IF(I59=0,0,1)</t>
  </si>
  <si>
    <t>=IF(K59=0,0,1)</t>
  </si>
  <si>
    <t>=P59+Q59</t>
  </si>
  <si>
    <t>=B65</t>
  </si>
  <si>
    <t>=NL("First","G/L Account","Name","No.",C61)</t>
  </si>
  <si>
    <t>=IF(R62=0,"HIDE","SHOW")</t>
  </si>
  <si>
    <t>=NL("Rows","G/L Account",,"No.",C62)</t>
  </si>
  <si>
    <t>=NF(D62,"No.")</t>
  </si>
  <si>
    <t>=NF(D62,"Name")</t>
  </si>
  <si>
    <t>=NL("Sum","G/L Entry","Amount","Fund No.",$C$4,"Budget Plan No.",PYPLAN_FILTER,"G/L Account No.",$E62,"Department Code",Dept_Filter,"Transaction Type","Budget")*-1</t>
  </si>
  <si>
    <t>=NL("Sum","Version LIne Worksheet","Amount","Fund No.",$C$4,"Plan No.",Plan_Filter,"G/L Account No.",$E62,"Department Code",Dept_Filter)*-1</t>
  </si>
  <si>
    <t>=K62-I62</t>
  </si>
  <si>
    <t>=IF(I62=0,0,1)</t>
  </si>
  <si>
    <t>=IF(K62=0,0,1)</t>
  </si>
  <si>
    <t>=P62+Q62</t>
  </si>
  <si>
    <t>="""Mission ERP"",""GBRA"",""15"",""1"",""41402"""</t>
  </si>
  <si>
    <t>=NF(D63,"No.")</t>
  </si>
  <si>
    <t>=NF(D63,"Name")</t>
  </si>
  <si>
    <t>=NL("Sum","G/L Entry","Amount","Fund No.",$C$4,"Budget Plan No.",PYPLAN_FILTER,"G/L Account No.",$E63,"Department Code",Dept_Filter,"Transaction Type","Budget")*-1</t>
  </si>
  <si>
    <t>=NL("Sum","Version LIne Worksheet","Amount","Fund No.",$C$4,"Plan No.",Plan_Filter,"G/L Account No.",$E63,"Department Code",Dept_Filter)*-1</t>
  </si>
  <si>
    <t>=IF(R65=0,"HIDE","SHOW")</t>
  </si>
  <si>
    <t>=CONCATENATE("Total ",F61)</t>
  </si>
  <si>
    <t>=SUM(I62:I64)</t>
  </si>
  <si>
    <t>=SUM(K62:K64)</t>
  </si>
  <si>
    <t>=K65-I65</t>
  </si>
  <si>
    <t>=IF(I65=0,0,1)</t>
  </si>
  <si>
    <t>=IF(K65=0,0,1)</t>
  </si>
  <si>
    <t>=P65+Q65</t>
  </si>
  <si>
    <t>=B136</t>
  </si>
  <si>
    <t>=NL("First","G/L Account","Name","No.",C67)</t>
  </si>
  <si>
    <t>=NL("Rows","G/L Account",,"No.",C68)</t>
  </si>
  <si>
    <t>=NF(D68,"No.")</t>
  </si>
  <si>
    <t>=NF(D68,"Name")</t>
  </si>
  <si>
    <t>=NL("Sum","G/L Entry","Amount","Fund No.",$C$4,"Budget Plan No.",PYPLAN_FILTER,"G/L Account No.",$E68,"Department Code",Dept_Filter,"Transaction Type","Budget")*-1</t>
  </si>
  <si>
    <t>=NL("Sum","Version LIne Worksheet","Amount","Fund No.",$C$4,"Plan No.",Plan_Filter,"G/L Account No.",$E68,"Department Code",Dept_Filter)*-1</t>
  </si>
  <si>
    <t>=IF(R69=0,"HIDE","SHOW")</t>
  </si>
  <si>
    <t>="""Mission ERP"",""GBRA"",""15"",""1"",""42102"""</t>
  </si>
  <si>
    <t>=NF(D69,"No.")</t>
  </si>
  <si>
    <t>=NF(D69,"Name")</t>
  </si>
  <si>
    <t>=NL("Sum","G/L Entry","Amount","Fund No.",$C$4,"Budget Plan No.",PYPLAN_FILTER,"G/L Account No.",$E69,"Department Code",Dept_Filter,"Transaction Type","Budget")*-1</t>
  </si>
  <si>
    <t>=NL("Sum","Version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</si>
  <si>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</si>
  <si>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</si>
  <si>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</si>
  <si>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</si>
  <si>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</si>
  <si>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="""Mission ERP"",""GBRA"",""15"",""1"",""42103"""</t>
  </si>
  <si>
    <t>=NF(D70,"No.")</t>
  </si>
  <si>
    <t>=NF(D70,"Name")</t>
  </si>
  <si>
    <t>=NL("Sum","G/L Entry","Amount","Fund No.",$C$4,"Budget Plan No.",PYPLAN_FILTER,"G/L Account No.",$E70,"Department Code",Dept_Filter,"Transaction Type","Budget")*-1</t>
  </si>
  <si>
    <t>=NL("Sum","Version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</si>
  <si>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</si>
  <si>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</si>
  <si>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</si>
  <si>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</si>
  <si>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="""Mission ERP"",""GBRA"",""15"",""1"",""42104"""</t>
  </si>
  <si>
    <t>=IF(R72=0,"HIDE","SHOW")</t>
  </si>
  <si>
    <t>="""Mission ERP"",""GBRA"",""15"",""1"",""42105"""</t>
  </si>
  <si>
    <t>=NF(D72,"No.")</t>
  </si>
  <si>
    <t>=NF(D72,"Name")</t>
  </si>
  <si>
    <t>=NL("Sum","G/L Entry","Amount","Fund No.",$C$4,"Budget Plan No.",PYPLAN_FILTER,"G/L Account No.",$E72,"Department Code",Dept_Filter,"Transaction Type","Budget")*-1</t>
  </si>
  <si>
    <t>=NL("Sum","Version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</si>
  <si>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</si>
  <si>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</si>
  <si>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</si>
  <si>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</si>
  <si>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="""Mission ERP"",""GBRA"",""15"",""1"",""42106"""</t>
  </si>
  <si>
    <t>=NF(D73,"No.")</t>
  </si>
  <si>
    <t>=NF(D73,"Name")</t>
  </si>
  <si>
    <t>=NL("Sum","G/L Entry","Amount","Fund No.",$C$4,"Budget Plan No.",PYPLAN_FILTER,"G/L Account No.",$E73,"Department Code",Dept_Filter,"Transaction Type","Budget")*-1</t>
  </si>
  <si>
    <t>=NL("Sum","Version LIne Worksheet","Amount","Fund No.",$C$4,"Plan No.",Plan_Filter,"G/L Account No.",$E73,"Department Code",Dept_Filter)*-1</t>
  </si>
  <si>
    <t>=IF(R74=0,"HIDE","SHOW")</t>
  </si>
  <si>
    <t>="""Mission ERP"",""GBRA"",""15"",""1"",""42107"""</t>
  </si>
  <si>
    <t>=NF(D74,"No.")</t>
  </si>
  <si>
    <t>=NF(D74,"Name")</t>
  </si>
  <si>
    <t>=NL("Sum","G/L Entry","Amount","Fund No.",$C$4,"Budget Plan No.",PYPLAN_FILTER,"G/L Account No.",$E74,"Department Code",Dept_Filter,"Transaction Type","Budget")*-1</t>
  </si>
  <si>
    <t>=NL("Sum","Version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</si>
  <si>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</si>
  <si>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</si>
  <si>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</si>
  <si>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</si>
  <si>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</si>
  <si>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="""Mission ERP"",""GBRA"",""15"",""1"",""42108"""</t>
  </si>
  <si>
    <t>=NF(D75,"No.")</t>
  </si>
  <si>
    <t>=NF(D75,"Name")</t>
  </si>
  <si>
    <t>=NL("Sum","G/L Entry","Amount","Fund No.",$C$4,"Budget Plan No.",PYPLAN_FILTER,"G/L Account No.",$E75,"Department Code",Dept_Filter,"Transaction Type","Budget")*-1</t>
  </si>
  <si>
    <t>=NL("Sum","Version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</si>
  <si>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</si>
  <si>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</si>
  <si>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</si>
  <si>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</si>
  <si>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="""Mission ERP"",""GBRA"",""15"",""1"",""42109"""</t>
  </si>
  <si>
    <t>=IF(R77=0,"HIDE","SHOW")</t>
  </si>
  <si>
    <t>="""Mission ERP"",""GBRA"",""15"",""1"",""42110"""</t>
  </si>
  <si>
    <t>=NF(D77,"No.")</t>
  </si>
  <si>
    <t>=NF(D77,"Name")</t>
  </si>
  <si>
    <t>=NL("Sum","G/L Entry","Amount","Fund No.",$C$4,"Budget Plan No.",PYPLAN_FILTER,"G/L Account No.",$E77,"Department Code",Dept_Filter,"Transaction Type","Budget")*-1</t>
  </si>
  <si>
    <t>=NL("Sum","Version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</si>
  <si>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</si>
  <si>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</si>
  <si>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</si>
  <si>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</si>
  <si>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="""Mission ERP"",""GBRA"",""15"",""1"",""42111"""</t>
  </si>
  <si>
    <t>=NF(D78,"No.")</t>
  </si>
  <si>
    <t>=NF(D78,"Name")</t>
  </si>
  <si>
    <t>=NL("Sum","G/L Entry","Amount","Fund No.",$C$4,"Budget Plan No.",PYPLAN_FILTER,"G/L Account No.",$E78,"Department Code",Dept_Filter,"Transaction Type","Budget")*-1</t>
  </si>
  <si>
    <t>=NL("Sum","Version LIne Worksheet","Amount","Fund No.",$C$4,"Plan No.",Plan_Filter,"G/L Account No.",$E78,"Department Code",Dept_Filter)*-1</t>
  </si>
  <si>
    <t>=IF(R79=0,"HIDE","SHOW")</t>
  </si>
  <si>
    <t>="""Mission ERP"",""GBRA"",""15"",""1"",""42112"""</t>
  </si>
  <si>
    <t>=NF(D79,"No.")</t>
  </si>
  <si>
    <t>=NF(D79,"Name")</t>
  </si>
  <si>
    <t>=NL("Sum","G/L Entry","Amount","Fund No.",$C$4,"Budget Plan No.",PYPLAN_FILTER,"G/L Account No.",$E79,"Department Code",Dept_Filter,"Transaction Type","Budget")*-1</t>
  </si>
  <si>
    <t>=NL("Sum","Version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</si>
  <si>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</si>
  <si>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</si>
  <si>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</si>
  <si>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</si>
  <si>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</si>
  <si>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="""Mission ERP"",""GBRA"",""15"",""1"",""42113"""</t>
  </si>
  <si>
    <t>=NF(D80,"No.")</t>
  </si>
  <si>
    <t>=NF(D80,"Name")</t>
  </si>
  <si>
    <t>=NL("Sum","G/L Entry","Amount","Fund No.",$C$4,"Budget Plan No.",PYPLAN_FILTER,"G/L Account No.",$E80,"Department Code",Dept_Filter,"Transaction Type","Budget")*-1</t>
  </si>
  <si>
    <t>=NL("Sum","Version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</si>
  <si>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</si>
  <si>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</si>
  <si>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</si>
  <si>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</si>
  <si>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="""Mission ERP"",""GBRA"",""15"",""1"",""42114"""</t>
  </si>
  <si>
    <t>=IF(R82=0,"HIDE","SHOW")</t>
  </si>
  <si>
    <t>="""Mission ERP"",""GBRA"",""15"",""1"",""42115"""</t>
  </si>
  <si>
    <t>=NF(D82,"No.")</t>
  </si>
  <si>
    <t>=NF(D82,"Name")</t>
  </si>
  <si>
    <t>=NL("Sum","G/L Entry","Amount","Fund No.",$C$4,"Budget Plan No.",PYPLAN_FILTER,"G/L Account No.",$E82,"Department Code",Dept_Filter,"Transaction Type","Budget")*-1</t>
  </si>
  <si>
    <t>=NL("Sum","Version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</si>
  <si>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</si>
  <si>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</si>
  <si>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</si>
  <si>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</si>
  <si>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="""Mission ERP"",""GBRA"",""15"",""1"",""42116"""</t>
  </si>
  <si>
    <t>=NF(D83,"No.")</t>
  </si>
  <si>
    <t>=NF(D83,"Name")</t>
  </si>
  <si>
    <t>=NL("Sum","G/L Entry","Amount","Fund No.",$C$4,"Budget Plan No.",PYPLAN_FILTER,"G/L Account No.",$E83,"Department Code",Dept_Filter,"Transaction Type","Budget")*-1</t>
  </si>
  <si>
    <t>=NL("Sum","Version LIne Worksheet","Amount","Fund No.",$C$4,"Plan No.",Plan_Filter,"G/L Account No.",$E83,"Department Code",Dept_Filter)*-1</t>
  </si>
  <si>
    <t>=IF(R84=0,"HIDE","SHOW")</t>
  </si>
  <si>
    <t>="""Mission ERP"",""GBRA"",""15"",""1"",""42117"""</t>
  </si>
  <si>
    <t>=NF(D84,"No.")</t>
  </si>
  <si>
    <t>=NF(D84,"Name")</t>
  </si>
  <si>
    <t>=NL("Sum","G/L Entry","Amount","Fund No.",$C$4,"Budget Plan No.",PYPLAN_FILTER,"G/L Account No.",$E84,"Department Code",Dept_Filter,"Transaction Type","Budget")*-1</t>
  </si>
  <si>
    <t>=NL("Sum","Version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</si>
  <si>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</si>
  <si>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</si>
  <si>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</si>
  <si>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</si>
  <si>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</si>
  <si>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="""Mission ERP"",""GBRA"",""15"",""1"",""42118"""</t>
  </si>
  <si>
    <t>=NF(D85,"No.")</t>
  </si>
  <si>
    <t>=NF(D85,"Name")</t>
  </si>
  <si>
    <t>=NL("Sum","G/L Entry","Amount","Fund No.",$C$4,"Budget Plan No.",PYPLAN_FILTER,"G/L Account No.",$E85,"Department Code",Dept_Filter,"Transaction Type","Budget")*-1</t>
  </si>
  <si>
    <t>=NL("Sum","Version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</si>
  <si>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</si>
  <si>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</si>
  <si>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</si>
  <si>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</si>
  <si>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="""Mission ERP"",""GBRA"",""15"",""1"",""42119"""</t>
  </si>
  <si>
    <t>=IF(R87=0,"HIDE","SHOW")</t>
  </si>
  <si>
    <t>="""Mission ERP"",""GBRA"",""15"",""1"",""42120"""</t>
  </si>
  <si>
    <t>=NF(D87,"No.")</t>
  </si>
  <si>
    <t>=NF(D87,"Name")</t>
  </si>
  <si>
    <t>=NL("Sum","G/L Entry","Amount","Fund No.",$C$4,"Budget Plan No.",PYPLAN_FILTER,"G/L Account No.",$E87,"Department Code",Dept_Filter,"Transaction Type","Budget")*-1</t>
  </si>
  <si>
    <t>=NL("Sum","Version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</si>
  <si>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</si>
  <si>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</si>
  <si>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</si>
  <si>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</si>
  <si>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="""Mission ERP"",""GBRA"",""15"",""1"",""42121"""</t>
  </si>
  <si>
    <t>=NF(D88,"No.")</t>
  </si>
  <si>
    <t>=NF(D88,"Name")</t>
  </si>
  <si>
    <t>=NL("Sum","G/L Entry","Amount","Fund No.",$C$4,"Budget Plan No.",PYPLAN_FILTER,"G/L Account No.",$E88,"Department Code",Dept_Filter,"Transaction Type","Budget")*-1</t>
  </si>
  <si>
    <t>=NL("Sum","Version LIne Worksheet","Amount","Fund No.",$C$4,"Plan No.",Plan_Filter,"G/L Account No.",$E88,"Department Code",Dept_Filter)*-1</t>
  </si>
  <si>
    <t>=IF(R89=0,"HIDE","SHOW")</t>
  </si>
  <si>
    <t>="""Mission ERP"",""GBRA"",""15"",""1"",""42122"""</t>
  </si>
  <si>
    <t>=NF(D89,"No.")</t>
  </si>
  <si>
    <t>=NF(D89,"Name")</t>
  </si>
  <si>
    <t>=NL("Sum","G/L Entry","Amount","Fund No.",$C$4,"Budget Plan No.",PYPLAN_FILTER,"G/L Account No.",$E89,"Department Code",Dept_Filter,"Transaction Type","Budget")*-1</t>
  </si>
  <si>
    <t>=NL("Sum","Version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</si>
  <si>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</si>
  <si>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</si>
  <si>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</si>
  <si>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</si>
  <si>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</si>
  <si>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="""Mission ERP"",""GBRA"",""15"",""1"",""42123"""</t>
  </si>
  <si>
    <t>=NF(D90,"No.")</t>
  </si>
  <si>
    <t>=NF(D90,"Name")</t>
  </si>
  <si>
    <t>=NL("Sum","G/L Entry","Amount","Fund No.",$C$4,"Budget Plan No.",PYPLAN_FILTER,"G/L Account No.",$E90,"Department Code",Dept_Filter,"Transaction Type","Budget")*-1</t>
  </si>
  <si>
    <t>=NL("Sum","Version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</si>
  <si>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</si>
  <si>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</si>
  <si>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</si>
  <si>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</si>
  <si>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="""Mission ERP"",""GBRA"",""15"",""1"",""42124"""</t>
  </si>
  <si>
    <t>=IF(R92=0,"HIDE","SHOW")</t>
  </si>
  <si>
    <t>="""Mission ERP"",""GBRA"",""15"",""1"",""42125"""</t>
  </si>
  <si>
    <t>=NF(D92,"No.")</t>
  </si>
  <si>
    <t>=NF(D92,"Name")</t>
  </si>
  <si>
    <t>=NL("Sum","G/L Entry","Amount","Fund No.",$C$4,"Budget Plan No.",PYPLAN_FILTER,"G/L Account No.",$E92,"Department Code",Dept_Filter,"Transaction Type","Budget")*-1</t>
  </si>
  <si>
    <t>=NL("Sum","Version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</si>
  <si>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</si>
  <si>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</si>
  <si>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</si>
  <si>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</si>
  <si>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="""Mission ERP"",""GBRA"",""15"",""1"",""42126"""</t>
  </si>
  <si>
    <t>=NF(D93,"No.")</t>
  </si>
  <si>
    <t>=NF(D93,"Name")</t>
  </si>
  <si>
    <t>=NL("Sum","G/L Entry","Amount","Fund No.",$C$4,"Budget Plan No.",PYPLAN_FILTER,"G/L Account No.",$E93,"Department Code",Dept_Filter,"Transaction Type","Budget")*-1</t>
  </si>
  <si>
    <t>=NL("Sum","Version LIne Worksheet","Amount","Fund No.",$C$4,"Plan No.",Plan_Filter,"G/L Account No.",$E93,"Department Code",Dept_Filter)*-1</t>
  </si>
  <si>
    <t>=IF(R94=0,"HIDE","SHOW")</t>
  </si>
  <si>
    <t>="""Mission ERP"",""GBRA"",""15"",""1"",""42127"""</t>
  </si>
  <si>
    <t>=NF(D94,"No.")</t>
  </si>
  <si>
    <t>=NF(D94,"Name")</t>
  </si>
  <si>
    <t>=NL("Sum","G/L Entry","Amount","Fund No.",$C$4,"Budget Plan No.",PYPLAN_FILTER,"G/L Account No.",$E94,"Department Code",Dept_Filter,"Transaction Type","Budget")*-1</t>
  </si>
  <si>
    <t>=NL("Sum","Version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</si>
  <si>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</si>
  <si>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</si>
  <si>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</si>
  <si>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</si>
  <si>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</si>
  <si>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="""Mission ERP"",""GBRA"",""15"",""1"",""42128"""</t>
  </si>
  <si>
    <t>=NF(D95,"No.")</t>
  </si>
  <si>
    <t>=NF(D95,"Name")</t>
  </si>
  <si>
    <t>=NL("Sum","G/L Entry","Amount","Fund No.",$C$4,"Budget Plan No.",PYPLAN_FILTER,"G/L Account No.",$E95,"Department Code",Dept_Filter,"Transaction Type","Budget")*-1</t>
  </si>
  <si>
    <t>=NL("Sum","Version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</si>
  <si>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</si>
  <si>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</si>
  <si>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</si>
  <si>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</si>
  <si>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="""Mission ERP"",""GBRA"",""15"",""1"",""42129"""</t>
  </si>
  <si>
    <t>=IF(R97=0,"HIDE","SHOW")</t>
  </si>
  <si>
    <t>="""Mission ERP"",""GBRA"",""15"",""1"",""42130"""</t>
  </si>
  <si>
    <t>=NF(D97,"No.")</t>
  </si>
  <si>
    <t>=NF(D97,"Name")</t>
  </si>
  <si>
    <t>=NL("Sum","G/L Entry","Amount","Fund No.",$C$4,"Budget Plan No.",PYPLAN_FILTER,"G/L Account No.",$E97,"Department Code",Dept_Filter,"Transaction Type","Budget")*-1</t>
  </si>
  <si>
    <t>=NL("Sum","Version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</si>
  <si>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</si>
  <si>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</si>
  <si>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</si>
  <si>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</si>
  <si>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="""Mission ERP"",""GBRA"",""15"",""1"",""42131"""</t>
  </si>
  <si>
    <t>=NF(D98,"No.")</t>
  </si>
  <si>
    <t>=NF(D98,"Name")</t>
  </si>
  <si>
    <t>=NL("Sum","G/L Entry","Amount","Fund No.",$C$4,"Budget Plan No.",PYPLAN_FILTER,"G/L Account No.",$E98,"Department Code",Dept_Filter,"Transaction Type","Budget")*-1</t>
  </si>
  <si>
    <t>=NL("Sum","Version LIne Worksheet","Amount","Fund No.",$C$4,"Plan No.",Plan_Filter,"G/L Account No.",$E98,"Department Code",Dept_Filter)*-1</t>
  </si>
  <si>
    <t>=IF(R99=0,"HIDE","SHOW")</t>
  </si>
  <si>
    <t>="""Mission ERP"",""GBRA"",""15"",""1"",""42132"""</t>
  </si>
  <si>
    <t>=NF(D99,"No.")</t>
  </si>
  <si>
    <t>=NF(D99,"Name")</t>
  </si>
  <si>
    <t>=NL("Sum","G/L Entry","Amount","Fund No.",$C$4,"Budget Plan No.",PYPLAN_FILTER,"G/L Account No.",$E99,"Department Code",Dept_Filter,"Transaction Type","Budget")*-1</t>
  </si>
  <si>
    <t>=NL("Sum","Version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</si>
  <si>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</si>
  <si>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</si>
  <si>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</si>
  <si>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</si>
  <si>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</si>
  <si>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="""Mission ERP"",""GBRA"",""15"",""1"",""42133"""</t>
  </si>
  <si>
    <t>=NF(D100,"No.")</t>
  </si>
  <si>
    <t>=NF(D100,"Name")</t>
  </si>
  <si>
    <t>=NL("Sum","G/L Entry","Amount","Fund No.",$C$4,"Budget Plan No.",PYPLAN_FILTER,"G/L Account No.",$E100,"Department Code",Dept_Filter,"Transaction Type","Budget")*-1</t>
  </si>
  <si>
    <t>=NL("Sum","Version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</si>
  <si>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</si>
  <si>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</si>
  <si>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</si>
  <si>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</si>
  <si>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="""Mission ERP"",""GBRA"",""15"",""1"",""42134"""</t>
  </si>
  <si>
    <t>=IF(R102=0,"HIDE","SHOW")</t>
  </si>
  <si>
    <t>="""Mission ERP"",""GBRA"",""15"",""1"",""42135"""</t>
  </si>
  <si>
    <t>=NF(D102,"No.")</t>
  </si>
  <si>
    <t>=NF(D102,"Name")</t>
  </si>
  <si>
    <t>=NL("Sum","G/L Entry","Amount","Fund No.",$C$4,"Budget Plan No.",PYPLAN_FILTER,"G/L Account No.",$E102,"Department Code",Dept_Filter,"Transaction Type","Budget")*-1</t>
  </si>
  <si>
    <t>=NL("Sum","Version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</si>
  <si>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</si>
  <si>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</si>
  <si>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</si>
  <si>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</si>
  <si>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="""Mission ERP"",""GBRA"",""15"",""1"",""42136"""</t>
  </si>
  <si>
    <t>=NF(D103,"No.")</t>
  </si>
  <si>
    <t>=NF(D103,"Name")</t>
  </si>
  <si>
    <t>=NL("Sum","G/L Entry","Amount","Fund No.",$C$4,"Budget Plan No.",PYPLAN_FILTER,"G/L Account No.",$E103,"Department Code",Dept_Filter,"Transaction Type","Budget")*-1</t>
  </si>
  <si>
    <t>=NL("Sum","Version LIne Worksheet","Amount","Fund No.",$C$4,"Plan No.",Plan_Filter,"G/L Account No.",$E103,"Department Code",Dept_Filter)*-1</t>
  </si>
  <si>
    <t>=IF(R104=0,"HIDE","SHOW")</t>
  </si>
  <si>
    <t>="""Mission ERP"",""GBRA"",""15"",""1"",""42137"""</t>
  </si>
  <si>
    <t>=NF(D104,"No.")</t>
  </si>
  <si>
    <t>=NF(D104,"Name")</t>
  </si>
  <si>
    <t>=NL("Sum","G/L Entry","Amount","Fund No.",$C$4,"Budget Plan No.",PYPLAN_FILTER,"G/L Account No.",$E104,"Department Code",Dept_Filter,"Transaction Type","Budget")*-1</t>
  </si>
  <si>
    <t>=NL("Sum","Version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</si>
  <si>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</si>
  <si>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</si>
  <si>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</si>
  <si>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</si>
  <si>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</si>
  <si>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="""Mission ERP"",""GBRA"",""15"",""1"",""42138"""</t>
  </si>
  <si>
    <t>=NF(D105,"No.")</t>
  </si>
  <si>
    <t>=NF(D105,"Name")</t>
  </si>
  <si>
    <t>=NL("Sum","G/L Entry","Amount","Fund No.",$C$4,"Budget Plan No.",PYPLAN_FILTER,"G/L Account No.",$E105,"Department Code",Dept_Filter,"Transaction Type","Budget")*-1</t>
  </si>
  <si>
    <t>=NL("Sum","Version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</si>
  <si>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</si>
  <si>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</si>
  <si>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</si>
  <si>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</si>
  <si>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="""Mission ERP"",""GBRA"",""15"",""1"",""42139"""</t>
  </si>
  <si>
    <t>=IF(R107=0,"HIDE","SHOW")</t>
  </si>
  <si>
    <t>="""Mission ERP"",""GBRA"",""15"",""1"",""42140"""</t>
  </si>
  <si>
    <t>=NF(D107,"No.")</t>
  </si>
  <si>
    <t>=NF(D107,"Name")</t>
  </si>
  <si>
    <t>=NL("Sum","G/L Entry","Amount","Fund No.",$C$4,"Budget Plan No.",PYPLAN_FILTER,"G/L Account No.",$E107,"Department Code",Dept_Filter,"Transaction Type","Budget")*-1</t>
  </si>
  <si>
    <t>=NL("Sum","Version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</si>
  <si>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</si>
  <si>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</si>
  <si>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</si>
  <si>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</si>
  <si>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="""Mission ERP"",""GBRA"",""15"",""1"",""42141"""</t>
  </si>
  <si>
    <t>=NF(D108,"No.")</t>
  </si>
  <si>
    <t>=NF(D108,"Name")</t>
  </si>
  <si>
    <t>=NL("Sum","G/L Entry","Amount","Fund No.",$C$4,"Budget Plan No.",PYPLAN_FILTER,"G/L Account No.",$E108,"Department Code",Dept_Filter,"Transaction Type","Budget")*-1</t>
  </si>
  <si>
    <t>=NL("Sum","Version LIne Worksheet","Amount","Fund No.",$C$4,"Plan No.",Plan_Filter,"G/L Account No.",$E108,"Department Code",Dept_Filter)*-1</t>
  </si>
  <si>
    <t>=IF(R109=0,"HIDE","SHOW")</t>
  </si>
  <si>
    <t>="""Mission ERP"",""GBRA"",""15"",""1"",""42142"""</t>
  </si>
  <si>
    <t>=NF(D109,"No.")</t>
  </si>
  <si>
    <t>=NF(D109,"Name")</t>
  </si>
  <si>
    <t>=NL("Sum","G/L Entry","Amount","Fund No.",$C$4,"Budget Plan No.",PYPLAN_FILTER,"G/L Account No.",$E109,"Department Code",Dept_Filter,"Transaction Type","Budget")*-1</t>
  </si>
  <si>
    <t>=NL("Sum","Version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</si>
  <si>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</si>
  <si>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</si>
  <si>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</si>
  <si>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</si>
  <si>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="""Mission ERP"",""GBRA"",""15"",""1"",""42143"""</t>
  </si>
  <si>
    <t>=NF(D110,"No.")</t>
  </si>
  <si>
    <t>=NF(D110,"Name")</t>
  </si>
  <si>
    <t>=NL("Sum","G/L Entry","Amount","Fund No.",$C$4,"Budget Plan No.",PYPLAN_FILTER,"G/L Account No.",$E110,"Department Code",Dept_Filter,"Transaction Type","Budget")*-1</t>
  </si>
  <si>
    <t>=NL("Sum","Version LIne Worksheet","Amount","Fund No.",$C$4,"Plan No.",Plan_Filter,"G/L Account No.",$E110,"Department Code",Dept_Filter)*-1</t>
  </si>
  <si>
    <t>=IF(R111=0,"HIDE","SHOW")</t>
  </si>
  <si>
    <t>="""Mission ERP"",""GBRA"",""15"",""1"",""42149"""</t>
  </si>
  <si>
    <t>=NF(D111,"No.")</t>
  </si>
  <si>
    <t>=NF(D111,"Name")</t>
  </si>
  <si>
    <t>=NL("Sum","G/L Entry","Amount","Fund No.",$C$4,"Budget Plan No.",PYPLAN_FILTER,"G/L Account No.",$E111,"Department Code",Dept_Filter,"Transaction Type","Budget")*-1</t>
  </si>
  <si>
    <t>=NL("Sum","Version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</si>
  <si>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</si>
  <si>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</si>
  <si>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</si>
  <si>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</si>
  <si>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</si>
  <si>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="""Mission ERP"",""GBRA"",""15"",""1"",""42150"""</t>
  </si>
  <si>
    <t>=NF(D112,"No.")</t>
  </si>
  <si>
    <t>=NF(D112,"Name")</t>
  </si>
  <si>
    <t>=NL("Sum","G/L Entry","Amount","Fund No.",$C$4,"Budget Plan No.",PYPLAN_FILTER,"G/L Account No.",$E112,"Department Code",Dept_Filter,"Transaction Type","Budget")*-1</t>
  </si>
  <si>
    <t>=NL("Sum","Version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</si>
  <si>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</si>
  <si>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</si>
  <si>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</si>
  <si>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</si>
  <si>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</si>
  <si>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="""Mission ERP"",""GBRA"",""15"",""1"",""42151"""</t>
  </si>
  <si>
    <t>=NF(D113,"No.")</t>
  </si>
  <si>
    <t>=NF(D113,"Name")</t>
  </si>
  <si>
    <t>=NL("Sum","G/L Entry","Amount","Fund No.",$C$4,"Budget Plan No.",PYPLAN_FILTER,"G/L Account No.",$E113,"Department Code",Dept_Filter,"Transaction Type","Budget")*-1</t>
  </si>
  <si>
    <t>=NL("Sum","Version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</si>
  <si>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</si>
  <si>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</si>
  <si>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</si>
  <si>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</si>
  <si>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</si>
  <si>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="""Mission ERP"",""GBRA"",""15"",""1"",""42152"""</t>
  </si>
  <si>
    <t>=NF(D114,"No.")</t>
  </si>
  <si>
    <t>=NF(D114,"Name")</t>
  </si>
  <si>
    <t>=NL("Sum","G/L Entry","Amount","Fund No.",$C$4,"Budget Plan No.",PYPLAN_FILTER,"G/L Account No.",$E114,"Department Code",Dept_Filter,"Transaction Type","Budget")*-1</t>
  </si>
  <si>
    <t>=NL("Sum","Version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</si>
  <si>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</si>
  <si>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</si>
  <si>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</si>
  <si>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</si>
  <si>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</si>
  <si>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="""Mission ERP"",""GBRA"",""15"",""1"",""42153"""</t>
  </si>
  <si>
    <t>=NF(D115,"No.")</t>
  </si>
  <si>
    <t>=NF(D115,"Name")</t>
  </si>
  <si>
    <t>=NL("Sum","G/L Entry","Amount","Fund No.",$C$4,"Budget Plan No.",PYPLAN_FILTER,"G/L Account No.",$E115,"Department Code",Dept_Filter,"Transaction Type","Budget")*-1</t>
  </si>
  <si>
    <t>=NL("Sum","Version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</si>
  <si>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</si>
  <si>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</si>
  <si>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</si>
  <si>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</si>
  <si>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="""Mission ERP"",""GBRA"",""15"",""1"",""42154"""</t>
  </si>
  <si>
    <t>=NL("Sum","G/L Entry","Amount","Fund No.",$C$4,"Budget Plan No.",PYPLAN_FILTER,"G/L Account No.",$E116,"Department Code",Dept_Filter,"Transaction Type","Budget")*-1</t>
  </si>
  <si>
    <t>=NL("Sum","Version LIne Worksheet","Amount","Fund No.",$C$4,"Plan No.",Plan_Filter,"G/L Account No.",$E116,"Department Code",Dept_Filter)*-1</t>
  </si>
  <si>
    <t>=IF(R117=0,"HIDE","SHOW")</t>
  </si>
  <si>
    <t>="""Mission ERP"",""GBRA"",""15"",""1"",""42155"""</t>
  </si>
  <si>
    <t>=NF(D117,"No.")</t>
  </si>
  <si>
    <t>=NF(D117,"Name")</t>
  </si>
  <si>
    <t>=NL("Sum","G/L Entry","Amount","Fund No.",$C$4,"Budget Plan No.",PYPLAN_FILTER,"G/L Account No.",$E117,"Department Code",Dept_Filter,"Transaction Type","Budget")*-1</t>
  </si>
  <si>
    <t>=NL("Sum","Version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</si>
  <si>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</si>
  <si>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</si>
  <si>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</si>
  <si>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</si>
  <si>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="""Mission ERP"",""GBRA"",""15"",""1"",""42156"""</t>
  </si>
  <si>
    <t>=NF(D118,"No.")</t>
  </si>
  <si>
    <t>=NF(D118,"Name")</t>
  </si>
  <si>
    <t>=NL("Sum","G/L Entry","Amount","Fund No.",$C$4,"Budget Plan No.",PYPLAN_FILTER,"G/L Account No.",$E118,"Department Code",Dept_Filter,"Transaction Type","Budget")*-1</t>
  </si>
  <si>
    <t>=NL("Sum","Version LIne Worksheet","Amount","Fund No.",$C$4,"Plan No.",Plan_Filter,"G/L Account No.",$E118,"Department Code",Dept_Filter)*-1</t>
  </si>
  <si>
    <t>=IF(R119=0,"HIDE","SHOW")</t>
  </si>
  <si>
    <t>="""Mission ERP"",""GBRA"",""15"",""1"",""42159"""</t>
  </si>
  <si>
    <t>=NF(D119,"No.")</t>
  </si>
  <si>
    <t>=NF(D119,"Name")</t>
  </si>
  <si>
    <t>=NL("Sum","G/L Entry","Amount","Fund No.",$C$4,"Budget Plan No.",PYPLAN_FILTER,"G/L Account No.",$E119,"Department Code",Dept_Filter,"Transaction Type","Budget")*-1</t>
  </si>
  <si>
    <t>=NL("Sum","Version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</si>
  <si>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</si>
  <si>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</si>
  <si>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</si>
  <si>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</si>
  <si>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</si>
  <si>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="""Mission ERP"",""GBRA"",""15"",""1"",""42170"""</t>
  </si>
  <si>
    <t>=NF(D120,"No.")</t>
  </si>
  <si>
    <t>=NF(D120,"Name")</t>
  </si>
  <si>
    <t>=NL("Sum","G/L Entry","Amount","Fund No.",$C$4,"Budget Plan No.",PYPLAN_FILTER,"G/L Account No.",$E120,"Department Code",Dept_Filter,"Transaction Type","Budget")*-1</t>
  </si>
  <si>
    <t>=NL("Sum","Version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</si>
  <si>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</si>
  <si>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</si>
  <si>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</si>
  <si>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</si>
  <si>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="""Mission ERP"",""GBRA"",""15"",""1"",""42171"""</t>
  </si>
  <si>
    <t>=NL("Sum","G/L Entry","Amount","Fund No.",$C$4,"Budget Plan No.",PYPLAN_FILTER,"G/L Account No.",$E121,"Department Code",Dept_Filter,"Transaction Type","Budget")*-1</t>
  </si>
  <si>
    <t>=NL("Sum","Version LIne Worksheet","Amount","Fund No.",$C$4,"Plan No.",Plan_Filter,"G/L Account No.",$E121,"Department Code",Dept_Filter)*-1</t>
  </si>
  <si>
    <t>=IF(R122=0,"HIDE","SHOW")</t>
  </si>
  <si>
    <t>="""Mission ERP"",""GBRA"",""15"",""1"",""42172"""</t>
  </si>
  <si>
    <t>=NF(D122,"No.")</t>
  </si>
  <si>
    <t>=NF(D122,"Name")</t>
  </si>
  <si>
    <t>=NL("Sum","G/L Entry","Amount","Fund No.",$C$4,"Budget Plan No.",PYPLAN_FILTER,"G/L Account No.",$E122,"Department Code",Dept_Filter,"Transaction Type","Budget")*-1</t>
  </si>
  <si>
    <t>=NL("Sum","Version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</si>
  <si>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</si>
  <si>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</si>
  <si>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</si>
  <si>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</si>
  <si>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="""Mission ERP"",""GBRA"",""15"",""1"",""42173"""</t>
  </si>
  <si>
    <t>=NF(D123,"No.")</t>
  </si>
  <si>
    <t>=NF(D123,"Name")</t>
  </si>
  <si>
    <t>=NL("Sum","G/L Entry","Amount","Fund No.",$C$4,"Budget Plan No.",PYPLAN_FILTER,"G/L Account No.",$E123,"Department Code",Dept_Filter,"Transaction Type","Budget")*-1</t>
  </si>
  <si>
    <t>=NL("Sum","Version LIne Worksheet","Amount","Fund No.",$C$4,"Plan No.",Plan_Filter,"G/L Account No.",$E123,"Department Code",Dept_Filter)*-1</t>
  </si>
  <si>
    <t>=IF(R124=0,"HIDE","SHOW")</t>
  </si>
  <si>
    <t>="""Mission ERP"",""GBRA"",""15"",""1"",""42174"""</t>
  </si>
  <si>
    <t>=NF(D124,"No.")</t>
  </si>
  <si>
    <t>=NF(D124,"Name")</t>
  </si>
  <si>
    <t>=NL("Sum","G/L Entry","Amount","Fund No.",$C$4,"Budget Plan No.",PYPLAN_FILTER,"G/L Account No.",$E124,"Department Code",Dept_Filter,"Transaction Type","Budget")*-1</t>
  </si>
  <si>
    <t>=NL("Sum","Version LIne Worksheet","Amount","Fund No.",$C$4,"Plan No.",Plan_Filter,"G/L Account No.",$E124,"Department Code",Dept_Filter)*-1</t>
  </si>
  <si>
    <t>=K124-I124</t>
  </si>
  <si>
    <t>=IF(I124=0,0,1)</t>
  </si>
  <si>
    <t>=IF(K124=0,0,1)</t>
  </si>
  <si>
    <t>=P124+Q124</t>
  </si>
  <si>
    <t>=IF(R125=0,"HIDE","SHOW")</t>
  </si>
  <si>
    <t>="""Mission ERP"",""GBRA"",""15"",""1"",""42175"""</t>
  </si>
  <si>
    <t>=NF(D125,"No.")</t>
  </si>
  <si>
    <t>=NF(D125,"Name")</t>
  </si>
  <si>
    <t>=NL("Sum","G/L Entry","Amount","Fund No.",$C$4,"Budget Plan No.",PYPLAN_FILTER,"G/L Account No.",$E125,"Department Code",Dept_Filter,"Transaction Type","Budget")*-1</t>
  </si>
  <si>
    <t>=NL("Sum","Version LIne Worksheet","Amount","Fund No.",$C$4,"Plan No.",Plan_Filter,"G/L Account No.",$E125,"Department Code",Dept_Filter)*-1</t>
  </si>
  <si>
    <t>=K125-I125</t>
  </si>
  <si>
    <t>=IF(I125=0,0,1)</t>
  </si>
  <si>
    <t>=IF(K125=0,0,1)</t>
  </si>
  <si>
    <t>=P125+Q125</t>
  </si>
  <si>
    <t>="""Mission ERP"",""GBRA"",""15"",""1"",""42176"""</t>
  </si>
  <si>
    <t>=NL("Sum","G/L Entry","Amount","Fund No.",$C$4,"Budget Plan No.",PYPLAN_FILTER,"G/L Account No.",$E126,"Department Code",Dept_Filter,"Transaction Type","Budget")*-1</t>
  </si>
  <si>
    <t>=NL("Sum","Version LIne Worksheet","Amount","Fund No.",$C$4,"Plan No.",Plan_Filter,"G/L Account No.",$E126,"Department Code",Dept_Filter)*-1</t>
  </si>
  <si>
    <t>=IF(R127=0,"HIDE","SHOW")</t>
  </si>
  <si>
    <t>="""Mission ERP"",""GBRA"",""15"",""1"",""42177"""</t>
  </si>
  <si>
    <t>=NF(D127,"No.")</t>
  </si>
  <si>
    <t>=NF(D127,"Name")</t>
  </si>
  <si>
    <t>=NL("Sum","G/L Entry","Amount","Fund No.",$C$4,"Budget Plan No.",PYPLAN_FILTER,"G/L Account No.",$E127,"Department Code",Dept_Filter,"Transaction Type","Budget")*-1</t>
  </si>
  <si>
    <t>=NL("Sum","Version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</si>
  <si>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</si>
  <si>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</si>
  <si>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</si>
  <si>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</si>
  <si>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="""Mission ERP"",""GBRA"",""15"",""1"",""42178"""</t>
  </si>
  <si>
    <t>=NF(D128,"No.")</t>
  </si>
  <si>
    <t>=NF(D128,"Name")</t>
  </si>
  <si>
    <t>=NL("Sum","G/L Entry","Amount","Fund No.",$C$4,"Budget Plan No.",PYPLAN_FILTER,"G/L Account No.",$E128,"Department Code",Dept_Filter,"Transaction Type","Budget")*-1</t>
  </si>
  <si>
    <t>=NL("Sum","Version LIne Worksheet","Amount","Fund No.",$C$4,"Plan No.",Plan_Filter,"G/L Account No.",$E128,"Department Code",Dept_Filter)*-1</t>
  </si>
  <si>
    <t>=IF(R129=0,"HIDE","SHOW")</t>
  </si>
  <si>
    <t>="""Mission ERP"",""GBRA"",""15"",""1"",""42179"""</t>
  </si>
  <si>
    <t>=NF(D129,"No.")</t>
  </si>
  <si>
    <t>=NF(D129,"Name")</t>
  </si>
  <si>
    <t>=NL("Sum","G/L Entry","Amount","Fund No.",$C$4,"Budget Plan No.",PYPLAN_FILTER,"G/L Account No.",$E129,"Department Code",Dept_Filter,"Transaction Type","Budget")*-1</t>
  </si>
  <si>
    <t>=NL("Sum","Version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</si>
  <si>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</si>
  <si>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</si>
  <si>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</si>
  <si>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</si>
  <si>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=IF(R130=0,"HIDE","SHOW")</t>
  </si>
  <si>
    <t>="""Mission ERP"",""GBRA"",""15"",""1"",""42180"""</t>
  </si>
  <si>
    <t>=NF(D130,"No.")</t>
  </si>
  <si>
    <t>=NF(D130,"Name")</t>
  </si>
  <si>
    <t>=NL("Sum","G/L Entry","Amount","Fund No.",$C$4,"Budget Plan No.",PYPLAN_FILTER,"G/L Account No.",$E130,"Department Code",Dept_Filter,"Transaction Type","Budget")*-1</t>
  </si>
  <si>
    <t>=NL("Sum","Version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</si>
  <si>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</si>
  <si>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</si>
  <si>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</si>
  <si>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</si>
  <si>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="""Mission ERP"",""GBRA"",""15"",""1"",""42181"""</t>
  </si>
  <si>
    <t>=NL("Sum","G/L Entry","Amount","Fund No.",$C$4,"Budget Plan No.",PYPLAN_FILTER,"G/L Account No.",$E131,"Department Code",Dept_Filter,"Transaction Type","Budget")*-1</t>
  </si>
  <si>
    <t>=NL("Sum","Version LIne Worksheet","Amount","Fund No.",$C$4,"Plan No.",Plan_Filter,"G/L Account No.",$E131,"Department Code",Dept_Filter)*-1</t>
  </si>
  <si>
    <t>=IF(R132=0,"HIDE","SHOW")</t>
  </si>
  <si>
    <t>="""Mission ERP"",""GBRA"",""15"",""1"",""42182"""</t>
  </si>
  <si>
    <t>=NF(D132,"No.")</t>
  </si>
  <si>
    <t>=NF(D132,"Name")</t>
  </si>
  <si>
    <t>=NL("Sum","G/L Entry","Amount","Fund No.",$C$4,"Budget Plan No.",PYPLAN_FILTER,"G/L Account No.",$E132,"Department Code",Dept_Filter,"Transaction Type","Budget")*-1</t>
  </si>
  <si>
    <t>=NL("Sum","Version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</si>
  <si>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</si>
  <si>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</si>
  <si>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</si>
  <si>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</si>
  <si>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="""Mission ERP"",""GBRA"",""15"",""1"",""42185"""</t>
  </si>
  <si>
    <t>=NF(D133,"No.")</t>
  </si>
  <si>
    <t>=NF(D133,"Name")</t>
  </si>
  <si>
    <t>=NL("Sum","G/L Entry","Amount","Fund No.",$C$4,"Budget Plan No.",PYPLAN_FILTER,"G/L Account No.",$E133,"Department Code",Dept_Filter,"Transaction Type","Budget")*-1</t>
  </si>
  <si>
    <t>=NL("Sum","Version LIne Worksheet","Amount","Fund No.",$C$4,"Plan No.",Plan_Filter,"G/L Account No.",$E133,"Department Code",Dept_Filter)*-1</t>
  </si>
  <si>
    <t>=IF(R134=0,"HIDE","SHOW")</t>
  </si>
  <si>
    <t>="""Mission ERP"",""GBRA"",""15"",""1"",""42186"""</t>
  </si>
  <si>
    <t>=NF(D134,"No.")</t>
  </si>
  <si>
    <t>=NF(D134,"Name")</t>
  </si>
  <si>
    <t>=NL("Sum","G/L Entry","Amount","Fund No.",$C$4,"Budget Plan No.",PYPLAN_FILTER,"G/L Account No.",$E134,"Department Code",Dept_Filter,"Transaction Type","Budget")*-1</t>
  </si>
  <si>
    <t>=NL("Sum","Version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</si>
  <si>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</si>
  <si>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</si>
  <si>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</si>
  <si>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</si>
  <si>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=CONCATENATE("Total ",F67)</t>
  </si>
  <si>
    <t>=SUM(I68:I135)</t>
  </si>
  <si>
    <t>=SUM(K68:K135)</t>
  </si>
  <si>
    <t>=B148</t>
  </si>
  <si>
    <t>=NL("First","G/L Account","Name","No.",C138)</t>
  </si>
  <si>
    <t>=IF(R139=0,"HIDE","SHOW")</t>
  </si>
  <si>
    <t>=NL("Rows","G/L Account",,"No.",C139)</t>
  </si>
  <si>
    <t>=NF(D139,"No.")</t>
  </si>
  <si>
    <t>=NF(D139,"Name")</t>
  </si>
  <si>
    <t>=NL("Sum","G/L Entry","Amount","Fund No.",$C$4,"Budget Plan No.",PYPLAN_FILTER,"G/L Account No.",$E139,"Department Code",Dept_Filter,"Transaction Type","Budget")*-1</t>
  </si>
  <si>
    <t>=NL("Sum","Version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</si>
  <si>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</si>
  <si>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</si>
  <si>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</si>
  <si>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</si>
  <si>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</si>
  <si>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="""Mission ERP"",""GBRA"",""15"",""1"",""42202"""</t>
  </si>
  <si>
    <t>=NF(D140,"No.")</t>
  </si>
  <si>
    <t>=NF(D140,"Name")</t>
  </si>
  <si>
    <t>=NL("Sum","G/L Entry","Amount","Fund No.",$C$4,"Budget Plan No.",PYPLAN_FILTER,"G/L Account No.",$E140,"Department Code",Dept_Filter,"Transaction Type","Budget")*-1</t>
  </si>
  <si>
    <t>=NL("Sum","Version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</si>
  <si>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</si>
  <si>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</si>
  <si>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</si>
  <si>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</si>
  <si>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="""Mission ERP"",""GBRA"",""15"",""1"",""42203"""</t>
  </si>
  <si>
    <t>=NL("Sum","G/L Entry","Amount","Fund No.",$C$4,"Budget Plan No.",PYPLAN_FILTER,"G/L Account No.",$E141,"Department Code",Dept_Filter,"Transaction Type","Budget")*-1</t>
  </si>
  <si>
    <t>=NL("Sum","Version LIne Worksheet","Amount","Fund No.",$C$4,"Plan No.",Plan_Filter,"G/L Account No.",$E141,"Department Code",Dept_Filter)*-1</t>
  </si>
  <si>
    <t>=IF(R142=0,"HIDE","SHOW")</t>
  </si>
  <si>
    <t>="""Mission ERP"",""GBRA"",""15"",""1"",""42204"""</t>
  </si>
  <si>
    <t>=NF(D142,"No.")</t>
  </si>
  <si>
    <t>=NF(D142,"Name")</t>
  </si>
  <si>
    <t>=NL("Sum","G/L Entry","Amount","Fund No.",$C$4,"Budget Plan No.",PYPLAN_FILTER,"G/L Account No.",$E142,"Department Code",Dept_Filter,"Transaction Type","Budget")*-1</t>
  </si>
  <si>
    <t>=NL("Sum","Version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</si>
  <si>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</si>
  <si>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</si>
  <si>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</si>
  <si>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</si>
  <si>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="""Mission ERP"",""GBRA"",""15"",""1"",""42205"""</t>
  </si>
  <si>
    <t>=NF(D143,"No.")</t>
  </si>
  <si>
    <t>=NF(D143,"Name")</t>
  </si>
  <si>
    <t>=NL("Sum","G/L Entry","Amount","Fund No.",$C$4,"Budget Plan No.",PYPLAN_FILTER,"G/L Account No.",$E143,"Department Code",Dept_Filter,"Transaction Type","Budget")*-1</t>
  </si>
  <si>
    <t>=NL("Sum","Version LIne Worksheet","Amount","Fund No.",$C$4,"Plan No.",Plan_Filter,"G/L Account No.",$E143,"Department Code",Dept_Filter)*-1</t>
  </si>
  <si>
    <t>=IF(R144=0,"HIDE","SHOW")</t>
  </si>
  <si>
    <t>="""Mission ERP"",""GBRA"",""15"",""1"",""42206"""</t>
  </si>
  <si>
    <t>=NF(D144,"No.")</t>
  </si>
  <si>
    <t>=NF(D144,"Name")</t>
  </si>
  <si>
    <t>=NL("Sum","G/L Entry","Amount","Fund No.",$C$4,"Budget Plan No.",PYPLAN_FILTER,"G/L Account No.",$E144,"Department Code",Dept_Filter,"Transaction Type","Budget")*-1</t>
  </si>
  <si>
    <t>=NL("Sum","Version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</si>
  <si>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</si>
  <si>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</si>
  <si>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</si>
  <si>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</si>
  <si>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="""Mission ERP"",""GBRA"",""15"",""1"",""42207"""</t>
  </si>
  <si>
    <t>=NF(D145,"No.")</t>
  </si>
  <si>
    <t>=NF(D145,"Name")</t>
  </si>
  <si>
    <t>=NL("Sum","G/L Entry","Amount","Fund No.",$C$4,"Budget Plan No.",PYPLAN_FILTER,"G/L Account No.",$E145,"Department Code",Dept_Filter,"Transaction Type","Budget")*-1</t>
  </si>
  <si>
    <t>=NL("Sum","Version LIne Worksheet","Amount","Fund No.",$C$4,"Plan No.",Plan_Filter,"G/L Account No.",$E145,"Department Code",Dept_Filter)*-1</t>
  </si>
  <si>
    <t>=IF(R146=0,"HIDE","SHOW")</t>
  </si>
  <si>
    <t>="""Mission ERP"",""GBRA"",""15"",""1"",""42230"""</t>
  </si>
  <si>
    <t>=NF(D146,"No.")</t>
  </si>
  <si>
    <t>=NF(D146,"Name")</t>
  </si>
  <si>
    <t>=NL("Sum","G/L Entry","Amount","Fund No.",$C$4,"Budget Plan No.",PYPLAN_FILTER,"G/L Account No.",$E146,"Department Code",Dept_Filter,"Transaction Type","Budget")*-1</t>
  </si>
  <si>
    <t>=NL("Sum","Version LIne Worksheet","Amount","Fund No.",$C$4,"Plan No.",Plan_Filter,"G/L Account No.",$E146,"Department Code",Dept_Filter)*-1</t>
  </si>
  <si>
    <t>=K146-I146</t>
  </si>
  <si>
    <t>=IF(I146=0,0,1)</t>
  </si>
  <si>
    <t>=IF(K146=0,0,1)</t>
  </si>
  <si>
    <t>=P146+Q146</t>
  </si>
  <si>
    <t>=CONCATENATE("Total ",F138)</t>
  </si>
  <si>
    <t>=SUM(I139:I147)</t>
  </si>
  <si>
    <t>=SUM(K139:K147)</t>
  </si>
  <si>
    <t>=B158</t>
  </si>
  <si>
    <t>=NL("First","G/L Account","Name","No.",C150)</t>
  </si>
  <si>
    <t>=IF(R151=0,"HIDE","SHOW")</t>
  </si>
  <si>
    <t>=NL("Rows","G/L Account",,"No.",C151)</t>
  </si>
  <si>
    <t>=NF(D151,"No.")</t>
  </si>
  <si>
    <t>=NF(D151,"Name")</t>
  </si>
  <si>
    <t>=NL("Sum","G/L Entry","Amount","Fund No.",$C$4,"Budget Plan No.",PYPLAN_FILTER,"G/L Account No.",$E151,"Department Code",Dept_Filter,"Transaction Type","Budget")*-1</t>
  </si>
  <si>
    <t>=NL("Sum","Version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</si>
  <si>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</si>
  <si>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</si>
  <si>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</si>
  <si>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</si>
  <si>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=IF(R152=0,"HIDE","SHOW")</t>
  </si>
  <si>
    <t>="""Mission ERP"",""GBRA"",""15"",""1"",""42302"""</t>
  </si>
  <si>
    <t>=NF(D152,"No.")</t>
  </si>
  <si>
    <t>=NF(D152,"Name")</t>
  </si>
  <si>
    <t>=NL("Sum","G/L Entry","Amount","Fund No.",$C$4,"Budget Plan No.",PYPLAN_FILTER,"G/L Account No.",$E152,"Department Code",Dept_Filter,"Transaction Type","Budget")*-1</t>
  </si>
  <si>
    <t>=NL("Sum","Version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</si>
  <si>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</si>
  <si>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</si>
  <si>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</si>
  <si>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</si>
  <si>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="""Mission ERP"",""GBRA"",""15"",""1"",""42310"""</t>
  </si>
  <si>
    <t>=NL("Sum","G/L Entry","Amount","Fund No.",$C$4,"Budget Plan No.",PYPLAN_FILTER,"G/L Account No.",$E153,"Department Code",Dept_Filter,"Transaction Type","Budget")*-1</t>
  </si>
  <si>
    <t>=NL("Sum","Version LIne Worksheet","Amount","Fund No.",$C$4,"Plan No.",Plan_Filter,"G/L Account No.",$E153,"Department Code",Dept_Filter)*-1</t>
  </si>
  <si>
    <t>=IF(R154=0,"HIDE","SHOW")</t>
  </si>
  <si>
    <t>="""Mission ERP"",""GBRA"",""15"",""1"",""42320"""</t>
  </si>
  <si>
    <t>=NF(D154,"No.")</t>
  </si>
  <si>
    <t>=NF(D154,"Name")</t>
  </si>
  <si>
    <t>=NL("Sum","G/L Entry","Amount","Fund No.",$C$4,"Budget Plan No.",PYPLAN_FILTER,"G/L Account No.",$E154,"Department Code",Dept_Filter,"Transaction Type","Budget")*-1</t>
  </si>
  <si>
    <t>=NL("Sum","Version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</si>
  <si>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</si>
  <si>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</si>
  <si>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</si>
  <si>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</si>
  <si>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="""Mission ERP"",""GBRA"",""15"",""1"",""42340"""</t>
  </si>
  <si>
    <t>=NF(D155,"No.")</t>
  </si>
  <si>
    <t>=NF(D155,"Name")</t>
  </si>
  <si>
    <t>=NL("Sum","G/L Entry","Amount","Fund No.",$C$4,"Budget Plan No.",PYPLAN_FILTER,"G/L Account No.",$E155,"Department Code",Dept_Filter,"Transaction Type","Budget")*-1</t>
  </si>
  <si>
    <t>=NL("Sum","Version LIne Worksheet","Amount","Fund No.",$C$4,"Plan No.",Plan_Filter,"G/L Account No.",$E155,"Department Code",Dept_Filter)*-1</t>
  </si>
  <si>
    <t>=IF(R156=0,"HIDE","SHOW")</t>
  </si>
  <si>
    <t>="""Mission ERP"",""GBRA"",""15"",""1"",""42350"""</t>
  </si>
  <si>
    <t>=NF(D156,"No.")</t>
  </si>
  <si>
    <t>=NF(D156,"Name")</t>
  </si>
  <si>
    <t>=NL("Sum","G/L Entry","Amount","Fund No.",$C$4,"Budget Plan No.",PYPLAN_FILTER,"G/L Account No.",$E156,"Department Code",Dept_Filter,"Transaction Type","Budget")*-1</t>
  </si>
  <si>
    <t>=NL("Sum","Version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</si>
  <si>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</si>
  <si>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</si>
  <si>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</si>
  <si>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</si>
  <si>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=CONCATENATE("Total ",F150)</t>
  </si>
  <si>
    <t>=SUM(I151:I157)</t>
  </si>
  <si>
    <t>=SUM(K151:K157)</t>
  </si>
  <si>
    <t>=B170</t>
  </si>
  <si>
    <t>=NL("First","G/L Account","Name","No.",C160)</t>
  </si>
  <si>
    <t>=IF(R161=0,"HIDE","SHOW")</t>
  </si>
  <si>
    <t>=NL("Rows","G/L Account",,"No.",C161)</t>
  </si>
  <si>
    <t>=NF(D161,"No.")</t>
  </si>
  <si>
    <t>=NF(D161,"Name")</t>
  </si>
  <si>
    <t>=NL("Sum","G/L Entry","Amount","Fund No.",$C$4,"Budget Plan No.",PYPLAN_FILTER,"G/L Account No.",$E161,"Department Code",Dept_Filter,"Transaction Type","Budget")*-1</t>
  </si>
  <si>
    <t>=NL("Sum","Version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</si>
  <si>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</si>
  <si>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</si>
  <si>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</si>
  <si>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</si>
  <si>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="""Mission ERP"",""GBRA"",""15"",""1"",""42402"""</t>
  </si>
  <si>
    <t>=NF(D162,"No.")</t>
  </si>
  <si>
    <t>=NF(D162,"Name")</t>
  </si>
  <si>
    <t>=NL("Sum","G/L Entry","Amount","Fund No.",$C$4,"Budget Plan No.",PYPLAN_FILTER,"G/L Account No.",$E162,"Department Code",Dept_Filter,"Transaction Type","Budget")*-1</t>
  </si>
  <si>
    <t>=NL("Sum","Version LIne Worksheet","Amount","Fund No.",$C$4,"Plan No.",Plan_Filter,"G/L Account No.",$E162,"Department Code",Dept_Filter)*-1</t>
  </si>
  <si>
    <t>=IF(R163=0,"HIDE","SHOW")</t>
  </si>
  <si>
    <t>="""Mission ERP"",""GBRA"",""15"",""1"",""42403"""</t>
  </si>
  <si>
    <t>=NF(D163,"No.")</t>
  </si>
  <si>
    <t>=NF(D163,"Name")</t>
  </si>
  <si>
    <t>=NL("Sum","G/L Entry","Amount","Fund No.",$C$4,"Budget Plan No.",PYPLAN_FILTER,"G/L Account No.",$E163,"Department Code",Dept_Filter,"Transaction Type","Budget")*-1</t>
  </si>
  <si>
    <t>=NL("Sum","Version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</si>
  <si>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</si>
  <si>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</si>
  <si>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</si>
  <si>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</si>
  <si>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=IF(R164=0,"HIDE","SHOW")</t>
  </si>
  <si>
    <t>="""Mission ERP"",""GBRA"",""15"",""1"",""42404"""</t>
  </si>
  <si>
    <t>=NF(D164,"No.")</t>
  </si>
  <si>
    <t>=NF(D164,"Name")</t>
  </si>
  <si>
    <t>=NL("Sum","G/L Entry","Amount","Fund No.",$C$4,"Budget Plan No.",PYPLAN_FILTER,"G/L Account No.",$E164,"Department Code",Dept_Filter,"Transaction Type","Budget")*-1</t>
  </si>
  <si>
    <t>=NL("Sum","Version LIne Worksheet","Amount","Fund No.",$C$4,"Plan No.",Plan_Filter,"G/L Account No.",$E164,"Department Code",Dept_Filter)*-1</t>
  </si>
  <si>
    <t>=K164-I164</t>
  </si>
  <si>
    <t>=IF(I164=0,0,1)</t>
  </si>
  <si>
    <t>=IF(K164=0,0,1)</t>
  </si>
  <si>
    <t>=P164+Q164</t>
  </si>
  <si>
    <t>="""Mission ERP"",""GBRA"",""15"",""1"",""42405"""</t>
  </si>
  <si>
    <t>=NL("Sum","G/L Entry","Amount","Fund No.",$C$4,"Budget Plan No.",PYPLAN_FILTER,"G/L Account No.",$E165,"Department Code",Dept_Filter,"Transaction Type","Budget")*-1</t>
  </si>
  <si>
    <t>=NL("Sum","Version LIne Worksheet","Amount","Fund No.",$C$4,"Plan No.",Plan_Filter,"G/L Account No.",$E165,"Department Code",Dept_Filter)*-1</t>
  </si>
  <si>
    <t>=IF(R166=0,"HIDE","SHOW")</t>
  </si>
  <si>
    <t>="""Mission ERP"",""GBRA"",""15"",""1"",""42450"""</t>
  </si>
  <si>
    <t>=NF(D166,"No.")</t>
  </si>
  <si>
    <t>=NF(D166,"Name")</t>
  </si>
  <si>
    <t>=NL("Sum","G/L Entry","Amount","Fund No.",$C$4,"Budget Plan No.",PYPLAN_FILTER,"G/L Account No.",$E166,"Department Code",Dept_Filter,"Transaction Type","Budget")*-1</t>
  </si>
  <si>
    <t>=NL("Sum","Version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</si>
  <si>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</si>
  <si>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</si>
  <si>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</si>
  <si>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</si>
  <si>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="""Mission ERP"",""GBRA"",""15"",""1"",""42451"""</t>
  </si>
  <si>
    <t>=NF(D167,"No.")</t>
  </si>
  <si>
    <t>=NF(D167,"Name")</t>
  </si>
  <si>
    <t>=NL("Sum","G/L Entry","Amount","Fund No.",$C$4,"Budget Plan No.",PYPLAN_FILTER,"G/L Account No.",$E167,"Department Code",Dept_Filter,"Transaction Type","Budget")*-1</t>
  </si>
  <si>
    <t>=NL("Sum","Version LIne Worksheet","Amount","Fund No.",$C$4,"Plan No.",Plan_Filter,"G/L Account No.",$E167,"Department Code",Dept_Filter)*-1</t>
  </si>
  <si>
    <t>=IF(R168=0,"HIDE","SHOW")</t>
  </si>
  <si>
    <t>="""Mission ERP"",""GBRA"",""15"",""1"",""42470"""</t>
  </si>
  <si>
    <t>=NF(D168,"No.")</t>
  </si>
  <si>
    <t>=NF(D168,"Name")</t>
  </si>
  <si>
    <t>=NL("Sum","G/L Entry","Amount","Fund No.",$C$4,"Budget Plan No.",PYPLAN_FILTER,"G/L Account No.",$E168,"Department Code",Dept_Filter,"Transaction Type","Budget")*-1</t>
  </si>
  <si>
    <t>=NL("Sum","Version LIne Worksheet","Amount","Fund No.",$C$4,"Plan No.",Plan_Filter,"G/L Account No.",$E168,"Department Code",Dept_Filter)*-1</t>
  </si>
  <si>
    <t>=K168-I168</t>
  </si>
  <si>
    <t>=IF(I168=0,0,1)</t>
  </si>
  <si>
    <t>=IF(K168=0,0,1)</t>
  </si>
  <si>
    <t>=P168+Q168</t>
  </si>
  <si>
    <t>=CONCATENATE("Total ",F160)</t>
  </si>
  <si>
    <t>=SUM(I161:I169)</t>
  </si>
  <si>
    <t>=SUM(K161:K169)</t>
  </si>
  <si>
    <t>=NL("First","G/L Account","Name","No.",C172)</t>
  </si>
  <si>
    <t>=IF(R173=0,"HIDE","SHOW")</t>
  </si>
  <si>
    <t>=NL("Rows","G/L Account",,"No.",C173)</t>
  </si>
  <si>
    <t>=NF(D173,"No.")</t>
  </si>
  <si>
    <t>=NF(D173,"Name")</t>
  </si>
  <si>
    <t>=NL("Sum","G/L Entry","Amount","Fund No.",$C$4,"Budget Plan No.",PYPLAN_FILTER,"G/L Account No.",$E173,"Department Code",Dept_Filter,"Transaction Type","Budget")*-1</t>
  </si>
  <si>
    <t>=NL("Sum","Version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</si>
  <si>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</si>
  <si>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</si>
  <si>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</si>
  <si>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</si>
  <si>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</si>
  <si>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="""Mission ERP"",""GBRA"",""15"",""1"",""42502"""</t>
  </si>
  <si>
    <t>=NF(D174,"No.")</t>
  </si>
  <si>
    <t>=NF(D174,"Name")</t>
  </si>
  <si>
    <t>=NL("Sum","G/L Entry","Amount","Fund No.",$C$4,"Budget Plan No.",PYPLAN_FILTER,"G/L Account No.",$E174,"Department Code",Dept_Filter,"Transaction Type","Budget")*-1</t>
  </si>
  <si>
    <t>=NL("Sum","Version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</si>
  <si>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</si>
  <si>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</si>
  <si>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</si>
  <si>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</si>
  <si>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="""Mission ERP"",""GBRA"",""15"",""1"",""42503"""</t>
  </si>
  <si>
    <t>=NL("Sum","G/L Entry","Amount","Fund No.",$C$4,"Budget Plan No.",PYPLAN_FILTER,"G/L Account No.",$E175,"Department Code",Dept_Filter,"Transaction Type","Budget")*-1</t>
  </si>
  <si>
    <t>=NL("Sum","Version LIne Worksheet","Amount","Fund No.",$C$4,"Plan No.",Plan_Filter,"G/L Account No.",$E175,"Department Code",Dept_Filter)*-1</t>
  </si>
  <si>
    <t>=IF(R176=0,"HIDE","SHOW")</t>
  </si>
  <si>
    <t>="""Mission ERP"",""GBRA"",""15"",""1"",""42504"""</t>
  </si>
  <si>
    <t>=NF(D176,"No.")</t>
  </si>
  <si>
    <t>=NF(D176,"Name")</t>
  </si>
  <si>
    <t>=NL("Sum","G/L Entry","Amount","Fund No.",$C$4,"Budget Plan No.",PYPLAN_FILTER,"G/L Account No.",$E176,"Department Code",Dept_Filter,"Transaction Type","Budget")*-1</t>
  </si>
  <si>
    <t>=NL("Sum","Version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</si>
  <si>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</si>
  <si>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</si>
  <si>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</si>
  <si>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</si>
  <si>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="""Mission ERP"",""GBRA"",""15"",""1"",""42540"""</t>
  </si>
  <si>
    <t>=NF(D177,"No.")</t>
  </si>
  <si>
    <t>=NF(D177,"Name")</t>
  </si>
  <si>
    <t>=NL("Sum","G/L Entry","Amount","Fund No.",$C$4,"Budget Plan No.",PYPLAN_FILTER,"G/L Account No.",$E177,"Department Code",Dept_Filter,"Transaction Type","Budget")*-1</t>
  </si>
  <si>
    <t>=NL("Sum","Version LIne Worksheet","Amount","Fund No.",$C$4,"Plan No.",Plan_Filter,"G/L Account No.",$E177,"Department Code",Dept_Filter)*-1</t>
  </si>
  <si>
    <t>=IF(R178=0,"HIDE","SHOW")</t>
  </si>
  <si>
    <t>="""Mission ERP"",""GBRA"",""15"",""1"",""42541"""</t>
  </si>
  <si>
    <t>=NF(D178,"No.")</t>
  </si>
  <si>
    <t>=NF(D178,"Name")</t>
  </si>
  <si>
    <t>=NL("Sum","G/L Entry","Amount","Fund No.",$C$4,"Budget Plan No.",PYPLAN_FILTER,"G/L Account No.",$E178,"Department Code",Dept_Filter,"Transaction Type","Budget")*-1</t>
  </si>
  <si>
    <t>=NL("Sum","Version LIne Worksheet","Amount","Fund No.",$C$4,"Plan No.",Plan_Filter,"G/L Account No.",$E178,"Department Code",Dept_Filter)*-1</t>
  </si>
  <si>
    <t>=K178-I178</t>
  </si>
  <si>
    <t>=IF(I178=0,0,1)</t>
  </si>
  <si>
    <t>=IF(K178=0,0,1)</t>
  </si>
  <si>
    <t>=P178+Q178</t>
  </si>
  <si>
    <t>=IF(R179=0,"HIDE","SHOW")</t>
  </si>
  <si>
    <t>="""Mission ERP"",""GBRA"",""15"",""1"",""42542"""</t>
  </si>
  <si>
    <t>=NF(D179,"No.")</t>
  </si>
  <si>
    <t>=NF(D179,"Name")</t>
  </si>
  <si>
    <t>=NL("Sum","G/L Entry","Amount","Fund No.",$C$4,"Budget Plan No.",PYPLAN_FILTER,"G/L Account No.",$E179,"Department Code",Dept_Filter,"Transaction Type","Budget")*-1</t>
  </si>
  <si>
    <t>=NL("Sum","Version LIne Worksheet","Amount","Fund No.",$C$4,"Plan No.",Plan_Filter,"G/L Account No.",$E179,"Department Code",Dept_Filter)*-1</t>
  </si>
  <si>
    <t>=K179-I179</t>
  </si>
  <si>
    <t>=IF(I179=0,0,1)</t>
  </si>
  <si>
    <t>=IF(K179=0,0,1)</t>
  </si>
  <si>
    <t>=P179+Q179</t>
  </si>
  <si>
    <t>="""Mission ERP"",""GBRA"",""15"",""1"",""42543"""</t>
  </si>
  <si>
    <t>=NL("Sum","G/L Entry","Amount","Fund No.",$C$4,"Budget Plan No.",PYPLAN_FILTER,"G/L Account No.",$E180,"Department Code",Dept_Filter,"Transaction Type","Budget")*-1</t>
  </si>
  <si>
    <t>=NL("Sum","Version LIne Worksheet","Amount","Fund No.",$C$4,"Plan No.",Plan_Filter,"G/L Account No.",$E180,"Department Code",Dept_Filter)*-1</t>
  </si>
  <si>
    <t>=IF(R181=0,"HIDE","SHOW")</t>
  </si>
  <si>
    <t>="""Mission ERP"",""GBRA"",""15"",""1"",""42544"""</t>
  </si>
  <si>
    <t>=NF(D181,"No.")</t>
  </si>
  <si>
    <t>=NF(D181,"Name")</t>
  </si>
  <si>
    <t>=NL("Sum","G/L Entry","Amount","Fund No.",$C$4,"Budget Plan No.",PYPLAN_FILTER,"G/L Account No.",$E181,"Department Code",Dept_Filter,"Transaction Type","Budget")*-1</t>
  </si>
  <si>
    <t>=NL("Sum","Version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</si>
  <si>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</si>
  <si>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</si>
  <si>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</si>
  <si>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</si>
  <si>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="""Mission ERP"",""GBRA"",""15"",""1"",""42550"""</t>
  </si>
  <si>
    <t>=NF(D182,"No.")</t>
  </si>
  <si>
    <t>=NF(D182,"Name")</t>
  </si>
  <si>
    <t>=NL("Sum","G/L Entry","Amount","Fund No.",$C$4,"Budget Plan No.",PYPLAN_FILTER,"G/L Account No.",$E182,"Department Code",Dept_Filter,"Transaction Type","Budget")*-1</t>
  </si>
  <si>
    <t>=NL("Sum","Version LIne Worksheet","Amount","Fund No.",$C$4,"Plan No.",Plan_Filter,"G/L Account No.",$E182,"Department Code",Dept_Filter)*-1</t>
  </si>
  <si>
    <t>=IF(R183=0,"HIDE","SHOW")</t>
  </si>
  <si>
    <t>="""Mission ERP"",""GBRA"",""15"",""1"",""42551"""</t>
  </si>
  <si>
    <t>=NF(D183,"No.")</t>
  </si>
  <si>
    <t>=NF(D183,"Name")</t>
  </si>
  <si>
    <t>=NL("Sum","G/L Entry","Amount","Fund No.",$C$4,"Budget Plan No.",PYPLAN_FILTER,"G/L Account No.",$E183,"Department Code",Dept_Filter,"Transaction Type","Budget")*-1</t>
  </si>
  <si>
    <t>=NL("Sum","Version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</si>
  <si>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</si>
  <si>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</si>
  <si>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</si>
  <si>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</si>
  <si>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=IF(R184=0,"HIDE","SHOW")</t>
  </si>
  <si>
    <t>="""Mission ERP"",""GBRA"",""15"",""1"",""42552"""</t>
  </si>
  <si>
    <t>=NF(D184,"No.")</t>
  </si>
  <si>
    <t>=NF(D184,"Name")</t>
  </si>
  <si>
    <t>=NL("Sum","G/L Entry","Amount","Fund No.",$C$4,"Budget Plan No.",PYPLAN_FILTER,"G/L Account No.",$E184,"Department Code",Dept_Filter,"Transaction Type","Budget")*-1</t>
  </si>
  <si>
    <t>=NL("Sum","Version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</si>
  <si>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</si>
  <si>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</si>
  <si>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</si>
  <si>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</si>
  <si>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="""Mission ERP"",""GBRA"",""15"",""1"",""42553"""</t>
  </si>
  <si>
    <t>=NL("Sum","G/L Entry","Amount","Fund No.",$C$4,"Budget Plan No.",PYPLAN_FILTER,"G/L Account No.",$E185,"Department Code",Dept_Filter,"Transaction Type","Budget")*-1</t>
  </si>
  <si>
    <t>=NL("Sum","Version LIne Worksheet","Amount","Fund No.",$C$4,"Plan No.",Plan_Filter,"G/L Account No.",$E185,"Department Code",Dept_Filter)*-1</t>
  </si>
  <si>
    <t>=IF(R186=0,"HIDE","SHOW")</t>
  </si>
  <si>
    <t>="""Mission ERP"",""GBRA"",""15"",""1"",""42554"""</t>
  </si>
  <si>
    <t>=NF(D186,"No.")</t>
  </si>
  <si>
    <t>=NF(D186,"Name")</t>
  </si>
  <si>
    <t>=NL("Sum","G/L Entry","Amount","Fund No.",$C$4,"Budget Plan No.",PYPLAN_FILTER,"G/L Account No.",$E186,"Department Code",Dept_Filter,"Transaction Type","Budget")*-1</t>
  </si>
  <si>
    <t>=NL("Sum","Version LIne Worksheet","Amount","Fund No.",$C$4,"Plan No.",Plan_Filter,"G/L Account No.",$E186,"Department Code",Dept_Filter)*-1</t>
  </si>
  <si>
    <t>=K186-I186</t>
  </si>
  <si>
    <t>=IF(I186=0,0,1)</t>
  </si>
  <si>
    <t>=IF(K186=0,0,1)</t>
  </si>
  <si>
    <t>=P186+Q186</t>
  </si>
  <si>
    <t>="""Mission ERP"",""GBRA"",""15"",""1"",""42555"""</t>
  </si>
  <si>
    <t>=NF(D187,"No.")</t>
  </si>
  <si>
    <t>=NF(D187,"Name")</t>
  </si>
  <si>
    <t>=NL("Sum","G/L Entry","Amount","Fund No.",$C$4,"Budget Plan No.",PYPLAN_FILTER,"G/L Account No.",$E187,"Department Code",Dept_Filter,"Transaction Type","Budget")*-1</t>
  </si>
  <si>
    <t>=NL("Sum","Version LIne Worksheet","Amount","Fund No.",$C$4,"Plan No.",Plan_Filter,"G/L Account No.",$E187,"Department Code",Dept_Filter)*-1</t>
  </si>
  <si>
    <t>=IF(R188=0,"HIDE","SHOW")</t>
  </si>
  <si>
    <t>="""Mission ERP"",""GBRA"",""15"",""1"",""42556"""</t>
  </si>
  <si>
    <t>=NF(D188,"No.")</t>
  </si>
  <si>
    <t>=NF(D188,"Name")</t>
  </si>
  <si>
    <t>=NL("Sum","G/L Entry","Amount","Fund No.",$C$4,"Budget Plan No.",PYPLAN_FILTER,"G/L Account No.",$E188,"Department Code",Dept_Filter,"Transaction Type","Budget")*-1</t>
  </si>
  <si>
    <t>=NL("Sum","Version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</si>
  <si>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</si>
  <si>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</si>
  <si>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</si>
  <si>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</si>
  <si>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="""Mission ERP"",""GBRA"",""15"",""1"",""42557"""</t>
  </si>
  <si>
    <t>=NF(D189,"No.")</t>
  </si>
  <si>
    <t>=NF(D189,"Name")</t>
  </si>
  <si>
    <t>=NL("Sum","G/L Entry","Amount","Fund No.",$C$4,"Budget Plan No.",PYPLAN_FILTER,"G/L Account No.",$E189,"Department Code",Dept_Filter,"Transaction Type","Budget")*-1</t>
  </si>
  <si>
    <t>=NL("Sum","Version LIne Worksheet","Amount","Fund No.",$C$4,"Plan No.",Plan_Filter,"G/L Account No.",$E189,"Department Code",Dept_Filter)*-1</t>
  </si>
  <si>
    <t>=IF(R190=0,"HIDE","SHOW")</t>
  </si>
  <si>
    <t>="""Mission ERP"",""GBRA"",""15"",""1"",""42570"""</t>
  </si>
  <si>
    <t>=NF(D190,"No.")</t>
  </si>
  <si>
    <t>=NF(D190,"Name")</t>
  </si>
  <si>
    <t>=NL("Sum","G/L Entry","Amount","Fund No.",$C$4,"Budget Plan No.",PYPLAN_FILTER,"G/L Account No.",$E190,"Department Code",Dept_Filter,"Transaction Type","Budget")*-1</t>
  </si>
  <si>
    <t>=NL("Sum","Version LIne Worksheet","Amount","Fund No.",$C$4,"Plan No.",Plan_Filter,"G/L Account No.",$E190,"Department Code",Dept_Filter)*-1</t>
  </si>
  <si>
    <t>=K190-I190</t>
  </si>
  <si>
    <t>=IF(I190=0,0,1)</t>
  </si>
  <si>
    <t>=IF(K190=0,0,1)</t>
  </si>
  <si>
    <t>=P190+Q190</t>
  </si>
  <si>
    <t>=IF(R191=0,"HIDE","SHOW")</t>
  </si>
  <si>
    <t>="""Mission ERP"",""GBRA"",""15"",""1"",""42571"""</t>
  </si>
  <si>
    <t>=NF(D191,"No.")</t>
  </si>
  <si>
    <t>=NF(D191,"Name")</t>
  </si>
  <si>
    <t>=NL("Sum","G/L Entry","Amount","Fund No.",$C$4,"Budget Plan No.",PYPLAN_FILTER,"G/L Account No.",$E191,"Department Code",Dept_Filter,"Transaction Type","Budget")*-1</t>
  </si>
  <si>
    <t>=NL("Sum","Version LIne Worksheet","Amount","Fund No.",$C$4,"Plan No.",Plan_Filter,"G/L Account No.",$E191,"Department Code",Dept_Filter)*-1</t>
  </si>
  <si>
    <t>=IF(R192=0,"HIDE","SHOW")</t>
  </si>
  <si>
    <t>="""Mission ERP"",""GBRA"",""15"",""1"",""42572"""</t>
  </si>
  <si>
    <t>=NF(D192,"No.")</t>
  </si>
  <si>
    <t>=NF(D192,"Name")</t>
  </si>
  <si>
    <t>=NL("Sum","G/L Entry","Amount","Fund No.",$C$4,"Budget Plan No.",PYPLAN_FILTER,"G/L Account No.",$E192,"Department Code",Dept_Filter,"Transaction Type","Budget")*-1</t>
  </si>
  <si>
    <t>=NL("Sum","Version LIne Worksheet","Amount","Fund No.",$C$4,"Plan No.",Plan_Filter,"G/L Account No.",$E192,"Department Code",Dept_Filter)*-1</t>
  </si>
  <si>
    <t>=K192-I192</t>
  </si>
  <si>
    <t>=IF(I192=0,0,1)</t>
  </si>
  <si>
    <t>=IF(K192=0,0,1)</t>
  </si>
  <si>
    <t>=P192+Q192</t>
  </si>
  <si>
    <t>=IF(R193=0,"HIDE","SHOW")</t>
  </si>
  <si>
    <t>="""Mission ERP"",""GBRA"",""15"",""1"",""42580"""</t>
  </si>
  <si>
    <t>=NF(D193,"No.")</t>
  </si>
  <si>
    <t>=NF(D193,"Name")</t>
  </si>
  <si>
    <t>=NL("Sum","G/L Entry","Amount","Fund No.",$C$4,"Budget Plan No.",PYPLAN_FILTER,"G/L Account No.",$E193,"Department Code",Dept_Filter,"Transaction Type","Budget")*-1</t>
  </si>
  <si>
    <t>=NL("Sum","Version LIne Worksheet","Amount","Fund No.",$C$4,"Plan No.",Plan_Filter,"G/L Account No.",$E193,"Department Code",Dept_Filter)*-1</t>
  </si>
  <si>
    <t>=K193-I193</t>
  </si>
  <si>
    <t>=IF(I193=0,0,1)</t>
  </si>
  <si>
    <t>=IF(K193=0,0,1)</t>
  </si>
  <si>
    <t>=P193+Q193</t>
  </si>
  <si>
    <t>=IF(R194=0,"HIDE","SHOW")</t>
  </si>
  <si>
    <t>="""Mission ERP"",""GBRA"",""15"",""1"",""42581"""</t>
  </si>
  <si>
    <t>=NF(D194,"No.")</t>
  </si>
  <si>
    <t>=NF(D194,"Name")</t>
  </si>
  <si>
    <t>=NL("Sum","G/L Entry","Amount","Fund No.",$C$4,"Budget Plan No.",PYPLAN_FILTER,"G/L Account No.",$E194,"Department Code",Dept_Filter,"Transaction Type","Budget")*-1</t>
  </si>
  <si>
    <t>=NL("Sum","Version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</si>
  <si>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</si>
  <si>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</si>
  <si>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</si>
  <si>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</si>
  <si>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="""Mission ERP"",""GBRA"",""15"",""1"",""42582"""</t>
  </si>
  <si>
    <t>=NF(D195,"No.")</t>
  </si>
  <si>
    <t>=NF(D195,"Name")</t>
  </si>
  <si>
    <t>=NL("Sum","G/L Entry","Amount","Fund No.",$C$4,"Budget Plan No.",PYPLAN_FILTER,"G/L Account No.",$E195,"Department Code",Dept_Filter,"Transaction Type","Budget")*-1</t>
  </si>
  <si>
    <t>=NL("Sum","Version LIne Worksheet","Amount","Fund No.",$C$4,"Plan No.",Plan_Filter,"G/L Account No.",$E195,"Department Code",Dept_Filter)*-1</t>
  </si>
  <si>
    <t>=K195-I195</t>
  </si>
  <si>
    <t>=IF(I195=0,0,1)</t>
  </si>
  <si>
    <t>=IF(K195=0,0,1)</t>
  </si>
  <si>
    <t>=IF(R196=0,"HIDE","SHOW")</t>
  </si>
  <si>
    <t>="""Mission ERP"",""GBRA"",""15"",""1"",""42590"""</t>
  </si>
  <si>
    <t>=NF(D196,"No.")</t>
  </si>
  <si>
    <t>=NF(D196,"Name")</t>
  </si>
  <si>
    <t>=NL("Sum","G/L Entry","Amount","Fund No.",$C$4,"Budget Plan No.",PYPLAN_FILTER,"G/L Account No.",$E196,"Department Code",Dept_Filter,"Transaction Type","Budget")*-1</t>
  </si>
  <si>
    <t>=NL("Sum","Version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</si>
  <si>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</si>
  <si>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</si>
  <si>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</si>
  <si>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</si>
  <si>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=IF(R197=0,"HIDE","SHOW")</t>
  </si>
  <si>
    <t>="""Mission ERP"",""GBRA"",""15"",""1"",""42591"""</t>
  </si>
  <si>
    <t>=NF(D197,"No.")</t>
  </si>
  <si>
    <t>=NF(D197,"Name")</t>
  </si>
  <si>
    <t>=NL("Sum","G/L Entry","Amount","Fund No.",$C$4,"Budget Plan No.",PYPLAN_FILTER,"G/L Account No.",$E197,"Department Code",Dept_Filter,"Transaction Type","Budget")*-1</t>
  </si>
  <si>
    <t>=NL("Sum","Version LIne Worksheet","Amount","Fund No.",$C$4,"Plan No.",Plan_Filter,"G/L Account No.",$E197,"Department Code",Dept_Filter)*-1</t>
  </si>
  <si>
    <t>=K197-I197</t>
  </si>
  <si>
    <t>=IF(I197=0,0,1)</t>
  </si>
  <si>
    <t>=IF(K197=0,0,1)</t>
  </si>
  <si>
    <t>=P197+Q197</t>
  </si>
  <si>
    <t>="""Mission ERP"",""GBRA"",""15"",""1"",""42592"""</t>
  </si>
  <si>
    <t>=NF(D198,"No.")</t>
  </si>
  <si>
    <t>=CONCATENATE("Total ",F172)</t>
  </si>
  <si>
    <t>=SUM(I173:I199)</t>
  </si>
  <si>
    <t>=SUM(K173:K199)</t>
  </si>
  <si>
    <t>=B210</t>
  </si>
  <si>
    <t>=NL("First","G/L Account","Name","No.",C202)</t>
  </si>
  <si>
    <t>=NF(D203,"No.")</t>
  </si>
  <si>
    <t>=IF(R204=0,"HIDE","SHOW")</t>
  </si>
  <si>
    <t>="""Mission ERP"",""GBRA"",""15"",""1"",""42702"""</t>
  </si>
  <si>
    <t>=NF(D204,"No.")</t>
  </si>
  <si>
    <t>=NF(D204,"Name")</t>
  </si>
  <si>
    <t>=NL("Sum","G/L Entry","Amount","Fund No.",$C$4,"Budget Plan No.",PYPLAN_FILTER,"G/L Account No.",$E204,"Department Code",Dept_Filter,"Transaction Type","Budget")*-1</t>
  </si>
  <si>
    <t>=NL("Sum","Version LIne Worksheet","Amount","Fund No.",$C$4,"Plan No.",Plan_Filter,"G/L Account No.",$E204,"Department Code",Dept_Filter)*-1</t>
  </si>
  <si>
    <t>=K204-I204</t>
  </si>
  <si>
    <t>=IF(I204=0,0,1)</t>
  </si>
  <si>
    <t>=IF(K204=0,0,1)</t>
  </si>
  <si>
    <t>=P204+Q204</t>
  </si>
  <si>
    <t>="""Mission ERP"",""GBRA"",""15"",""1"",""42703"""</t>
  </si>
  <si>
    <t>=NF(D205,"No.")</t>
  </si>
  <si>
    <t>=NF(D205,"Name")</t>
  </si>
  <si>
    <t>=NL("Sum","G/L Entry","Amount","Fund No.",$C$4,"Budget Plan No.",PYPLAN_FILTER,"G/L Account No.",$E205,"Department Code",Dept_Filter,"Transaction Type","Budget")*-1</t>
  </si>
  <si>
    <t>=NL("Sum","Version LIne Worksheet","Amount","Fund No.",$C$4,"Plan No.",Plan_Filter,"G/L Account No.",$E205,"Department Code",Dept_Filter)*-1</t>
  </si>
  <si>
    <t>=IF(R206=0,"HIDE","SHOW")</t>
  </si>
  <si>
    <t>="""Mission ERP"",""GBRA"",""15"",""1"",""42704"""</t>
  </si>
  <si>
    <t>=NF(D206,"No.")</t>
  </si>
  <si>
    <t>=NF(D206,"Name")</t>
  </si>
  <si>
    <t>=NL("Sum","G/L Entry","Amount","Fund No.",$C$4,"Budget Plan No.",PYPLAN_FILTER,"G/L Account No.",$E206,"Department Code",Dept_Filter,"Transaction Type","Budget")*-1</t>
  </si>
  <si>
    <t>=NL("Sum","Version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</si>
  <si>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</si>
  <si>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</si>
  <si>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</si>
  <si>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</si>
  <si>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="""Mission ERP"",""GBRA"",""15"",""1"",""42705"""</t>
  </si>
  <si>
    <t>=NF(D207,"No.")</t>
  </si>
  <si>
    <t>=NF(D207,"Name")</t>
  </si>
  <si>
    <t>=NL("Sum","G/L Entry","Amount","Fund No.",$C$4,"Budget Plan No.",PYPLAN_FILTER,"G/L Account No.",$E207,"Department Code",Dept_Filter,"Transaction Type","Budget")*-1</t>
  </si>
  <si>
    <t>=NL("Sum","Version LIne Worksheet","Amount","Fund No.",$C$4,"Plan No.",Plan_Filter,"G/L Account No.",$E207,"Department Code",Dept_Filter)*-1</t>
  </si>
  <si>
    <t>=IF(R208=0,"HIDE","SHOW")</t>
  </si>
  <si>
    <t>="""Mission ERP"",""GBRA"",""15"",""1"",""42715"""</t>
  </si>
  <si>
    <t>=NF(D208,"No.")</t>
  </si>
  <si>
    <t>=NF(D208,"Name")</t>
  </si>
  <si>
    <t>=NL("Sum","G/L Entry","Amount","Fund No.",$C$4,"Budget Plan No.",PYPLAN_FILTER,"G/L Account No.",$E208,"Department Code",Dept_Filter,"Transaction Type","Budget")*-1</t>
  </si>
  <si>
    <t>=NL("Sum","Version LIne Worksheet","Amount","Fund No.",$C$4,"Plan No.",Plan_Filter,"G/L Account No.",$E208,"Department Code",Dept_Filter)*-1</t>
  </si>
  <si>
    <t>=K208-I208</t>
  </si>
  <si>
    <t>=IF(I208=0,0,1)</t>
  </si>
  <si>
    <t>=IF(K208=0,0,1)</t>
  </si>
  <si>
    <t>=P208+Q208</t>
  </si>
  <si>
    <t>=IF(R210=0,"HIDE","SHOW")</t>
  </si>
  <si>
    <t>=SUM(I203:I209)</t>
  </si>
  <si>
    <t>=SUM(K203:K209)</t>
  </si>
  <si>
    <t>=K210-I210</t>
  </si>
  <si>
    <t>=IF(I210=0,0,1)</t>
  </si>
  <si>
    <t>=IF(K210=0,0,1)</t>
  </si>
  <si>
    <t>=P210+Q210</t>
  </si>
  <si>
    <t>=B215</t>
  </si>
  <si>
    <t>=NL("First","G/L Account","Name","No.",C212)</t>
  </si>
  <si>
    <t>=NL("Rows","G/L Account",,"No.",C213)</t>
  </si>
  <si>
    <t>=NF(D213,"No.")</t>
  </si>
  <si>
    <t>=NF(D213,"Name")</t>
  </si>
  <si>
    <t>=NL("Sum","G/L Entry","Amount","Fund No.",$C$4,"Budget Plan No.",PYPLAN_FILTER,"G/L Account No.",$E213,"Department Code",Dept_Filter,"Transaction Type","Budget")*-1</t>
  </si>
  <si>
    <t>=NL("Sum","Version LIne Worksheet","Amount","Fund No.",$C$4,"Plan No.",Plan_Filter,"G/L Account No.",$E213,"Department Code",Dept_Filter)*-1</t>
  </si>
  <si>
    <t>=IF(R215=0,"HIDE","SHOW")</t>
  </si>
  <si>
    <t>=CONCATENATE("Total ",F212)</t>
  </si>
  <si>
    <t>=SUM(I213:I214)</t>
  </si>
  <si>
    <t>=SUM(K213:K214)</t>
  </si>
  <si>
    <t>=K215-I215</t>
  </si>
  <si>
    <t>=IF(I215=0,0,1)</t>
  </si>
  <si>
    <t>=IF(K215=0,0,1)</t>
  </si>
  <si>
    <t>=P215+Q215</t>
  </si>
  <si>
    <t>=B226</t>
  </si>
  <si>
    <t>=NL("First","G/L Account","Name","No.",C217)</t>
  </si>
  <si>
    <t>=NL("Rows","G/L Account",,"No.",C218)</t>
  </si>
  <si>
    <t>=NF(D218,"No.")</t>
  </si>
  <si>
    <t>=NF(D218,"Name")</t>
  </si>
  <si>
    <t>=NL("Sum","G/L Entry","Amount","Fund No.",$C$4,"Budget Plan No.",PYPLAN_FILTER,"G/L Account No.",$E218,"Department Code",Dept_Filter,"Transaction Type","Budget")*-1</t>
  </si>
  <si>
    <t>=NL("Sum","Version LIne Worksheet","Amount","Fund No.",$C$4,"Plan No.",Plan_Filter,"G/L Account No.",$E218,"Department Code",Dept_Filter)*-1</t>
  </si>
  <si>
    <t>=IF(R219=0,"HIDE","SHOW")</t>
  </si>
  <si>
    <t>="""Mission ERP"",""GBRA"",""15"",""1"",""42902"""</t>
  </si>
  <si>
    <t>=NF(D219,"No.")</t>
  </si>
  <si>
    <t>=NF(D219,"Name")</t>
  </si>
  <si>
    <t>=NL("Sum","G/L Entry","Amount","Fund No.",$C$4,"Budget Plan No.",PYPLAN_FILTER,"G/L Account No.",$E219,"Department Code",Dept_Filter,"Transaction Type","Budget")*-1</t>
  </si>
  <si>
    <t>=NL("Sum","Version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</si>
  <si>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</si>
  <si>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</si>
  <si>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</si>
  <si>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</si>
  <si>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=IF(R220=0,"HIDE","SHOW")</t>
  </si>
  <si>
    <t>="""Mission ERP"",""GBRA"",""15"",""1"",""42903"""</t>
  </si>
  <si>
    <t>=NF(D220,"No.")</t>
  </si>
  <si>
    <t>=NF(D220,"Name")</t>
  </si>
  <si>
    <t>=NL("Sum","G/L Entry","Amount","Fund No.",$C$4,"Budget Plan No.",PYPLAN_FILTER,"G/L Account No.",$E220,"Department Code",Dept_Filter,"Transaction Type","Budget")*-1</t>
  </si>
  <si>
    <t>=NL("Sum","Version LIne Worksheet","Amount","Fund No.",$C$4,"Plan No.",Plan_Filter,"G/L Account No.",$E220,"Department Code",Dept_Filter)*-1</t>
  </si>
  <si>
    <t>=K220-I220</t>
  </si>
  <si>
    <t>=IF(I220=0,0,1)</t>
  </si>
  <si>
    <t>=IF(K220=0,0,1)</t>
  </si>
  <si>
    <t>=P220+Q220</t>
  </si>
  <si>
    <t>=IF(R221=0,"HIDE","SHOW")</t>
  </si>
  <si>
    <t>="""Mission ERP"",""GBRA"",""15"",""1"",""42915"""</t>
  </si>
  <si>
    <t>=NF(D221,"No.")</t>
  </si>
  <si>
    <t>=NF(D221,"Name")</t>
  </si>
  <si>
    <t>=NL("Sum","G/L Entry","Amount","Fund No.",$C$4,"Budget Plan No.",PYPLAN_FILTER,"G/L Account No.",$E221,"Department Code",Dept_Filter,"Transaction Type","Budget")*-1</t>
  </si>
  <si>
    <t>=NL("Sum","Version LIne Worksheet","Amount","Fund No.",$C$4,"Plan No.",Plan_Filter,"G/L Account No.",$E221,"Department Code",Dept_Filter)*-1</t>
  </si>
  <si>
    <t>=K221-I221</t>
  </si>
  <si>
    <t>=IF(I221=0,0,1)</t>
  </si>
  <si>
    <t>=IF(K221=0,0,1)</t>
  </si>
  <si>
    <t>=P221+Q221</t>
  </si>
  <si>
    <t>="""Mission ERP"",""GBRA"",""15"",""1"",""42920"""</t>
  </si>
  <si>
    <t>=NL("Sum","G/L Entry","Amount","Fund No.",$C$4,"Budget Plan No.",PYPLAN_FILTER,"G/L Account No.",$E222,"Department Code",Dept_Filter,"Transaction Type","Budget")*-1</t>
  </si>
  <si>
    <t>=NL("Sum","Version LIne Worksheet","Amount","Fund No.",$C$4,"Plan No.",Plan_Filter,"G/L Account No.",$E222,"Department Code",Dept_Filter)*-1</t>
  </si>
  <si>
    <t>=IF(R223=0,"HIDE","SHOW")</t>
  </si>
  <si>
    <t>="""Mission ERP"",""GBRA"",""15"",""1"",""42921"""</t>
  </si>
  <si>
    <t>=NF(D223,"No.")</t>
  </si>
  <si>
    <t>=NF(D223,"Name")</t>
  </si>
  <si>
    <t>=NL("Sum","G/L Entry","Amount","Fund No.",$C$4,"Budget Plan No.",PYPLAN_FILTER,"G/L Account No.",$E223,"Department Code",Dept_Filter,"Transaction Type","Budget")*-1</t>
  </si>
  <si>
    <t>=NL("Sum","Version LIne Worksheet","Amount","Fund No.",$C$4,"Plan No.",Plan_Filter,"G/L Account No.",$E223,"Department Code",Dept_Filter)*-1</t>
  </si>
  <si>
    <t>=K223-I223</t>
  </si>
  <si>
    <t>=IF(I223=0,0,1)</t>
  </si>
  <si>
    <t>=IF(K223=0,0,1)</t>
  </si>
  <si>
    <t>=P223+Q223</t>
  </si>
  <si>
    <t>="""Mission ERP"",""GBRA"",""15"",""1"",""42922"""</t>
  </si>
  <si>
    <t>=NF(D224,"No.")</t>
  </si>
  <si>
    <t>=NF(D224,"Name")</t>
  </si>
  <si>
    <t>=NL("Sum","G/L Entry","Amount","Fund No.",$C$4,"Budget Plan No.",PYPLAN_FILTER,"G/L Account No.",$E224,"Department Code",Dept_Filter,"Transaction Type","Budget")*-1</t>
  </si>
  <si>
    <t>=NL("Sum","Version LIne Worksheet","Amount","Fund No.",$C$4,"Plan No.",Plan_Filter,"G/L Account No.",$E224,"Department Code",Dept_Filter)*-1</t>
  </si>
  <si>
    <t>=CONCATENATE("Total ",F217)</t>
  </si>
  <si>
    <t>=SUM(I218:I225)</t>
  </si>
  <si>
    <t>=SUM(K218:K225)</t>
  </si>
  <si>
    <t>=B233</t>
  </si>
  <si>
    <t>=NL("First","G/L Account","Name","No.",C228)</t>
  </si>
  <si>
    <t>=IF(R229=0,"HIDE","SHOW")</t>
  </si>
  <si>
    <t>=NL("Rows","G/L Account",,"No.",C229)</t>
  </si>
  <si>
    <t>=NF(D229,"No.")</t>
  </si>
  <si>
    <t>=NF(D229,"Name")</t>
  </si>
  <si>
    <t>=NL("Sum","G/L Entry","Amount","Fund No.",$C$4,"Budget Plan No.",PYPLAN_FILTER,"G/L Account No.",$E229,"Department Code",Dept_Filter,"Transaction Type","Budget")*-1</t>
  </si>
  <si>
    <t>=NL("Sum","Version LIne Worksheet","Amount","Fund No.",$C$4,"Plan No.",Plan_Filter,"G/L Account No.",$E229,"Department Code",Dept_Filter)*-1</t>
  </si>
  <si>
    <t>=K229-I229</t>
  </si>
  <si>
    <t>=IF(I229=0,0,1)</t>
  </si>
  <si>
    <t>=IF(K229=0,0,1)</t>
  </si>
  <si>
    <t>=P229+Q229</t>
  </si>
  <si>
    <t>=IF(R230=0,"HIDE","SHOW")</t>
  </si>
  <si>
    <t>="""Mission ERP"",""GBRA"",""15"",""1"",""43002"""</t>
  </si>
  <si>
    <t>=NF(D230,"No.")</t>
  </si>
  <si>
    <t>=NF(D230,"Name")</t>
  </si>
  <si>
    <t>=NL("Sum","G/L Entry","Amount","Fund No.",$C$4,"Budget Plan No.",PYPLAN_FILTER,"G/L Account No.",$E230,"Department Code",Dept_Filter,"Transaction Type","Budget")*-1</t>
  </si>
  <si>
    <t>=NL("Sum","Version LIne Worksheet","Amount","Fund No.",$C$4,"Plan No.",Plan_Filter,"G/L Account No.",$E230,"Department Code",Dept_Filter)*-1</t>
  </si>
  <si>
    <t>=IF(R231=0,"HIDE","SHOW")</t>
  </si>
  <si>
    <t>="""Mission ERP"",""GBRA"",""15"",""1"",""43003"""</t>
  </si>
  <si>
    <t>=NF(D231,"No.")</t>
  </si>
  <si>
    <t>=NF(D231,"Name")</t>
  </si>
  <si>
    <t>=NL("Sum","G/L Entry","Amount","Fund No.",$C$4,"Budget Plan No.",PYPLAN_FILTER,"G/L Account No.",$E231,"Department Code",Dept_Filter,"Transaction Type","Budget")*-1</t>
  </si>
  <si>
    <t>=NL("Sum","Version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</si>
  <si>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</si>
  <si>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</si>
  <si>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</si>
  <si>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</si>
  <si>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=IF(R233=0,"HIDE","SHOW")</t>
  </si>
  <si>
    <t>=CONCATENATE("Total ",F228)</t>
  </si>
  <si>
    <t>=SUM(I229:I232)</t>
  </si>
  <si>
    <t>=SUM(K229:K232)</t>
  </si>
  <si>
    <t>=K233-I233</t>
  </si>
  <si>
    <t>=IF(I233=0,0,1)</t>
  </si>
  <si>
    <t>=IF(K233=0,0,1)</t>
  </si>
  <si>
    <t>=P233+Q233</t>
  </si>
  <si>
    <t>=B246</t>
  </si>
  <si>
    <t>=NL("First","G/L Account","Name","No.",C235)</t>
  </si>
  <si>
    <t>=IF(R236=0,"HIDE","SHOW")</t>
  </si>
  <si>
    <t>=NL("Rows","G/L Account",,"No.",C236)</t>
  </si>
  <si>
    <t>=NF(D236,"No.")</t>
  </si>
  <si>
    <t>=NF(D236,"Name")</t>
  </si>
  <si>
    <t>=NL("Sum","G/L Entry","Amount","Fund No.",$C$4,"Budget Plan No.",PYPLAN_FILTER,"G/L Account No.",$E236,"Department Code",Dept_Filter,"Transaction Type","Budget")*-1</t>
  </si>
  <si>
    <t>=NL("Sum","Version LIne Worksheet","Amount","Fund No.",$C$4,"Plan No.",Plan_Filter,"G/L Account No.",$E236,"Department Code",Dept_Filter)*-1</t>
  </si>
  <si>
    <t>=K236-I236</t>
  </si>
  <si>
    <t>=IF(I236=0,0,1)</t>
  </si>
  <si>
    <t>=IF(K236=0,0,1)</t>
  </si>
  <si>
    <t>=P236+Q236</t>
  </si>
  <si>
    <t>=IF(R237=0,"HIDE","SHOW")</t>
  </si>
  <si>
    <t>="""Mission ERP"",""GBRA"",""15"",""1"",""44110"""</t>
  </si>
  <si>
    <t>=NF(D237,"No.")</t>
  </si>
  <si>
    <t>=NF(D237,"Name")</t>
  </si>
  <si>
    <t>=NL("Sum","G/L Entry","Amount","Fund No.",$C$4,"Budget Plan No.",PYPLAN_FILTER,"G/L Account No.",$E237,"Department Code",Dept_Filter,"Transaction Type","Budget")*-1</t>
  </si>
  <si>
    <t>=NL("Sum","Version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</si>
  <si>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</si>
  <si>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</si>
  <si>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</si>
  <si>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</si>
  <si>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</si>
  <si>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="""Mission ERP"",""GBRA"",""15"",""1"",""44111"""</t>
  </si>
  <si>
    <t>=NF(D238,"No.")</t>
  </si>
  <si>
    <t>=NF(D238,"Name")</t>
  </si>
  <si>
    <t>=NL("Sum","G/L Entry","Amount","Fund No.",$C$4,"Budget Plan No.",PYPLAN_FILTER,"G/L Account No.",$E238,"Department Code",Dept_Filter,"Transaction Type","Budget")*-1</t>
  </si>
  <si>
    <t>=NL("Sum","Version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</si>
  <si>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</si>
  <si>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</si>
  <si>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</si>
  <si>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</si>
  <si>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</si>
  <si>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="""Mission ERP"",""GBRA"",""15"",""1"",""44112"""</t>
  </si>
  <si>
    <t>=NF(D239,"No.")</t>
  </si>
  <si>
    <t>=NF(D239,"Name")</t>
  </si>
  <si>
    <t>=NL("Sum","G/L Entry","Amount","Fund No.",$C$4,"Budget Plan No.",PYPLAN_FILTER,"G/L Account No.",$E239,"Department Code",Dept_Filter,"Transaction Type","Budget")*-1</t>
  </si>
  <si>
    <t>=NL("Sum","Version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</si>
  <si>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</si>
  <si>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</si>
  <si>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</si>
  <si>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</si>
  <si>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</si>
  <si>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="""Mission ERP"",""GBRA"",""15"",""1"",""44113"""</t>
  </si>
  <si>
    <t>=NF(D240,"No.")</t>
  </si>
  <si>
    <t>=NF(D240,"Name")</t>
  </si>
  <si>
    <t>=NL("Sum","G/L Entry","Amount","Fund No.",$C$4,"Budget Plan No.",PYPLAN_FILTER,"G/L Account No.",$E240,"Department Code",Dept_Filter,"Transaction Type","Budget")*-1</t>
  </si>
  <si>
    <t>=NL("Sum","Version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</si>
  <si>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</si>
  <si>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</si>
  <si>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</si>
  <si>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</si>
  <si>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</si>
  <si>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="""Mission ERP"",""GBRA"",""15"",""1"",""44114"""</t>
  </si>
  <si>
    <t>=NF(D241,"No.")</t>
  </si>
  <si>
    <t>=NF(D241,"Name")</t>
  </si>
  <si>
    <t>=NL("Sum","G/L Entry","Amount","Fund No.",$C$4,"Budget Plan No.",PYPLAN_FILTER,"G/L Account No.",$E241,"Department Code",Dept_Filter,"Transaction Type","Budget")*-1</t>
  </si>
  <si>
    <t>=NL("Sum","Version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</si>
  <si>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</si>
  <si>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</si>
  <si>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</si>
  <si>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</si>
  <si>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</si>
  <si>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="""Mission ERP"",""GBRA"",""15"",""1"",""44115"""</t>
  </si>
  <si>
    <t>=NF(D242,"No.")</t>
  </si>
  <si>
    <t>=NF(D242,"Name")</t>
  </si>
  <si>
    <t>=NL("Sum","G/L Entry","Amount","Fund No.",$C$4,"Budget Plan No.",PYPLAN_FILTER,"G/L Account No.",$E242,"Department Code",Dept_Filter,"Transaction Type","Budget")*-1</t>
  </si>
  <si>
    <t>=NL("Sum","Version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</si>
  <si>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</si>
  <si>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</si>
  <si>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</si>
  <si>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</si>
  <si>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</si>
  <si>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="""Mission ERP"",""GBRA"",""15"",""1"",""44116"""</t>
  </si>
  <si>
    <t>=NF(D243,"No.")</t>
  </si>
  <si>
    <t>=NF(D243,"Name")</t>
  </si>
  <si>
    <t>=NL("Sum","G/L Entry","Amount","Fund No.",$C$4,"Budget Plan No.",PYPLAN_FILTER,"G/L Account No.",$E243,"Department Code",Dept_Filter,"Transaction Type","Budget")*-1</t>
  </si>
  <si>
    <t>=NL("Sum","Version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</si>
  <si>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</si>
  <si>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</si>
  <si>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</si>
  <si>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</si>
  <si>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</si>
  <si>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="""Mission ERP"",""GBRA"",""15"",""1"",""44198"""</t>
  </si>
  <si>
    <t>=NF(D244,"No.")</t>
  </si>
  <si>
    <t>=NF(D244,"Name")</t>
  </si>
  <si>
    <t>=NL("Sum","G/L Entry","Amount","Fund No.",$C$4,"Budget Plan No.",PYPLAN_FILTER,"G/L Account No.",$E244,"Department Code",Dept_Filter,"Transaction Type","Budget")*-1</t>
  </si>
  <si>
    <t>=NL("Sum","Version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</si>
  <si>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</si>
  <si>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</si>
  <si>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</si>
  <si>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</si>
  <si>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=IF(R246=0,"HIDE","SHOW")</t>
  </si>
  <si>
    <t>=CONCATENATE("Total ",F235)</t>
  </si>
  <si>
    <t>=SUM(I236:I245)</t>
  </si>
  <si>
    <t>=SUM(K236:K245)</t>
  </si>
  <si>
    <t>=K246-I246</t>
  </si>
  <si>
    <t>=IF(I246=0,0,1)</t>
  </si>
  <si>
    <t>=IF(K246=0,0,1)</t>
  </si>
  <si>
    <t>=P246+Q246</t>
  </si>
  <si>
    <t>=B298</t>
  </si>
  <si>
    <t>=NL("First","G/L Account","Name","No.",C248)</t>
  </si>
  <si>
    <t>=IF(R249=0,"HIDE","SHOW")</t>
  </si>
  <si>
    <t>=NL("Rows","G/L Account",,"No.",C249)</t>
  </si>
  <si>
    <t>=NF(D249,"No.")</t>
  </si>
  <si>
    <t>=NF(D249,"Name")</t>
  </si>
  <si>
    <t>=NL("Sum","G/L Entry","Amount","Fund No.",$C$4,"Budget Plan No.",PYPLAN_FILTER,"G/L Account No.",$E249,"Department Code",Dept_Filter,"Transaction Type","Budget")*-1</t>
  </si>
  <si>
    <t>=NL("Sum","Version LIne Worksheet","Amount","Fund No.",$C$4,"Plan No.",Plan_Filter,"G/L Account No.",$E249,"Department Code",Dept_Filter)*-1</t>
  </si>
  <si>
    <t>=K249-I249</t>
  </si>
  <si>
    <t>=IF(I249=0,0,1)</t>
  </si>
  <si>
    <t>=IF(K249=0,0,1)</t>
  </si>
  <si>
    <t>=P249+Q249</t>
  </si>
  <si>
    <t>=IF(R250=0,"HIDE","SHOW")</t>
  </si>
  <si>
    <t>="""Mission ERP"",""GBRA"",""15"",""1"",""44202"""</t>
  </si>
  <si>
    <t>=NF(D250,"No.")</t>
  </si>
  <si>
    <t>=NF(D250,"Name")</t>
  </si>
  <si>
    <t>=NL("Sum","G/L Entry","Amount","Fund No.",$C$4,"Budget Plan No.",PYPLAN_FILTER,"G/L Account No.",$E250,"Department Code",Dept_Filter,"Transaction Type","Budget")*-1</t>
  </si>
  <si>
    <t>=NL("Sum","Version LIne Worksheet","Amount","Fund No.",$C$4,"Plan No.",Plan_Filter,"G/L Account No.",$E250,"Department Code",Dept_Filter)*-1</t>
  </si>
  <si>
    <t>=K250-I250</t>
  </si>
  <si>
    <t>=IF(I250=0,0,1)</t>
  </si>
  <si>
    <t>=IF(K250=0,0,1)</t>
  </si>
  <si>
    <t>=P250+Q250</t>
  </si>
  <si>
    <t>=IF(R251=0,"HIDE","SHOW")</t>
  </si>
  <si>
    <t>="""Mission ERP"",""GBRA"",""15"",""1"",""44203"""</t>
  </si>
  <si>
    <t>=NF(D251,"No.")</t>
  </si>
  <si>
    <t>=NF(D251,"Name")</t>
  </si>
  <si>
    <t>=NL("Sum","G/L Entry","Amount","Fund No.",$C$4,"Budget Plan No.",PYPLAN_FILTER,"G/L Account No.",$E251,"Department Code",Dept_Filter,"Transaction Type","Budget")*-1</t>
  </si>
  <si>
    <t>=NL("Sum","Version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</si>
  <si>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</si>
  <si>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</si>
  <si>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</si>
  <si>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</si>
  <si>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</si>
  <si>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="""Mission ERP"",""GBRA"",""15"",""1"",""44204"""</t>
  </si>
  <si>
    <t>=NF(D252,"No.")</t>
  </si>
  <si>
    <t>=NF(D252,"Name")</t>
  </si>
  <si>
    <t>=NL("Sum","G/L Entry","Amount","Fund No.",$C$4,"Budget Plan No.",PYPLAN_FILTER,"G/L Account No.",$E252,"Department Code",Dept_Filter,"Transaction Type","Budget")*-1</t>
  </si>
  <si>
    <t>=NL("Sum","Version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</si>
  <si>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</si>
  <si>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</si>
  <si>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</si>
  <si>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</si>
  <si>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</si>
  <si>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="""Mission ERP"",""GBRA"",""15"",""1"",""44205"""</t>
  </si>
  <si>
    <t>=NF(D253,"No.")</t>
  </si>
  <si>
    <t>=NF(D253,"Name")</t>
  </si>
  <si>
    <t>=NL("Sum","G/L Entry","Amount","Fund No.",$C$4,"Budget Plan No.",PYPLAN_FILTER,"G/L Account No.",$E253,"Department Code",Dept_Filter,"Transaction Type","Budget")*-1</t>
  </si>
  <si>
    <t>=NL("Sum","Version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</si>
  <si>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</si>
  <si>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</si>
  <si>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</si>
  <si>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</si>
  <si>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</si>
  <si>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="""Mission ERP"",""GBRA"",""15"",""1"",""44206"""</t>
  </si>
  <si>
    <t>=NF(D254,"No.")</t>
  </si>
  <si>
    <t>=NF(D254,"Name")</t>
  </si>
  <si>
    <t>=NL("Sum","G/L Entry","Amount","Fund No.",$C$4,"Budget Plan No.",PYPLAN_FILTER,"G/L Account No.",$E254,"Department Code",Dept_Filter,"Transaction Type","Budget")*-1</t>
  </si>
  <si>
    <t>=NL("Sum","Version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</si>
  <si>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</si>
  <si>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</si>
  <si>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</si>
  <si>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</si>
  <si>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</si>
  <si>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="""Mission ERP"",""GBRA"",""15"",""1"",""44207"""</t>
  </si>
  <si>
    <t>=NF(D255,"No.")</t>
  </si>
  <si>
    <t>=NF(D255,"Name")</t>
  </si>
  <si>
    <t>=NL("Sum","G/L Entry","Amount","Fund No.",$C$4,"Budget Plan No.",PYPLAN_FILTER,"G/L Account No.",$E255,"Department Code",Dept_Filter,"Transaction Type","Budget")*-1</t>
  </si>
  <si>
    <t>=NL("Sum","Version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</si>
  <si>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</si>
  <si>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</si>
  <si>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</si>
  <si>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</si>
  <si>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=IF(R256=0,"HIDE","SHOW")</t>
  </si>
  <si>
    <t>="""Mission ERP"",""GBRA"",""15"",""1"",""44208"""</t>
  </si>
  <si>
    <t>=NF(D256,"No.")</t>
  </si>
  <si>
    <t>=NF(D256,"Name")</t>
  </si>
  <si>
    <t>=NL("Sum","G/L Entry","Amount","Fund No.",$C$4,"Budget Plan No.",PYPLAN_FILTER,"G/L Account No.",$E256,"Department Code",Dept_Filter,"Transaction Type","Budget")*-1</t>
  </si>
  <si>
    <t>=NL("Sum","Version LIne Worksheet","Amount","Fund No.",$C$4,"Plan No.",Plan_Filter,"G/L Account No.",$E256,"Department Code",Dept_Filter)*-1</t>
  </si>
  <si>
    <t>=K256-I256</t>
  </si>
  <si>
    <t>=IF(I256=0,0,1)</t>
  </si>
  <si>
    <t>=IF(K256=0,0,1)</t>
  </si>
  <si>
    <t>=P256+Q256</t>
  </si>
  <si>
    <t>=IF(R257=0,"HIDE","SHOW")</t>
  </si>
  <si>
    <t>="""Mission ERP"",""GBRA"",""15"",""1"",""44209"""</t>
  </si>
  <si>
    <t>=NF(D257,"No.")</t>
  </si>
  <si>
    <t>=NF(D257,"Name")</t>
  </si>
  <si>
    <t>=NL("Sum","G/L Entry","Amount","Fund No.",$C$4,"Budget Plan No.",PYPLAN_FILTER,"G/L Account No.",$E257,"Department Code",Dept_Filter,"Transaction Type","Budget")*-1</t>
  </si>
  <si>
    <t>=NL("Sum","Version LIne Worksheet","Amount","Fund No.",$C$4,"Plan No.",Plan_Filter,"G/L Account No.",$E257,"Department Code",Dept_Filter)*-1</t>
  </si>
  <si>
    <t>=K257-I257</t>
  </si>
  <si>
    <t>=IF(I257=0,0,1)</t>
  </si>
  <si>
    <t>=IF(K257=0,0,1)</t>
  </si>
  <si>
    <t>=P257+Q257</t>
  </si>
  <si>
    <t>=IF(R258=0,"HIDE","SHOW")</t>
  </si>
  <si>
    <t>="""Mission ERP"",""GBRA"",""15"",""1"",""44210"""</t>
  </si>
  <si>
    <t>=NF(D258,"No.")</t>
  </si>
  <si>
    <t>=NF(D258,"Name")</t>
  </si>
  <si>
    <t>=NL("Sum","G/L Entry","Amount","Fund No.",$C$4,"Budget Plan No.",PYPLAN_FILTER,"G/L Account No.",$E258,"Department Code",Dept_Filter,"Transaction Type","Budget")*-1</t>
  </si>
  <si>
    <t>=NL("Sum","Version LIne Worksheet","Amount","Fund No.",$C$4,"Plan No.",Plan_Filter,"G/L Account No.",$E258,"Department Code",Dept_Filter)*-1</t>
  </si>
  <si>
    <t>=K258-I258</t>
  </si>
  <si>
    <t>=IF(I258=0,0,1)</t>
  </si>
  <si>
    <t>=IF(K258=0,0,1)</t>
  </si>
  <si>
    <t>=P258+Q258</t>
  </si>
  <si>
    <t>=IF(R259=0,"HIDE","SHOW")</t>
  </si>
  <si>
    <t>="""Mission ERP"",""GBRA"",""15"",""1"",""44211"""</t>
  </si>
  <si>
    <t>=NF(D259,"No.")</t>
  </si>
  <si>
    <t>=NF(D259,"Name")</t>
  </si>
  <si>
    <t>=NL("Sum","G/L Entry","Amount","Fund No.",$C$4,"Budget Plan No.",PYPLAN_FILTER,"G/L Account No.",$E259,"Department Code",Dept_Filter,"Transaction Type","Budget")*-1</t>
  </si>
  <si>
    <t>=NL("Sum","Version LIne Worksheet","Amount","Fund No.",$C$4,"Plan No.",Plan_Filter,"G/L Account No.",$E259,"Department Code",Dept_Filter)*-1</t>
  </si>
  <si>
    <t>=K259-I259</t>
  </si>
  <si>
    <t>=IF(I259=0,0,1)</t>
  </si>
  <si>
    <t>=IF(K259=0,0,1)</t>
  </si>
  <si>
    <t>=P259+Q259</t>
  </si>
  <si>
    <t>=IF(R260=0,"HIDE","SHOW")</t>
  </si>
  <si>
    <t>="""Mission ERP"",""GBRA"",""15"",""1"",""44212"""</t>
  </si>
  <si>
    <t>=NF(D260,"No.")</t>
  </si>
  <si>
    <t>=NF(D260,"Name")</t>
  </si>
  <si>
    <t>=NL("Sum","G/L Entry","Amount","Fund No.",$C$4,"Budget Plan No.",PYPLAN_FILTER,"G/L Account No.",$E260,"Department Code",Dept_Filter,"Transaction Type","Budget")*-1</t>
  </si>
  <si>
    <t>=NL("Sum","Version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</si>
  <si>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</si>
  <si>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</si>
  <si>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</si>
  <si>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</si>
  <si>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</si>
  <si>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="""Mission ERP"",""GBRA"",""15"",""1"",""44213"""</t>
  </si>
  <si>
    <t>=NF(D261,"No.")</t>
  </si>
  <si>
    <t>=NF(D261,"Name")</t>
  </si>
  <si>
    <t>=NL("Sum","G/L Entry","Amount","Fund No.",$C$4,"Budget Plan No.",PYPLAN_FILTER,"G/L Account No.",$E261,"Department Code",Dept_Filter,"Transaction Type","Budget")*-1</t>
  </si>
  <si>
    <t>=NL("Sum","Version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</si>
  <si>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</si>
  <si>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</si>
  <si>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</si>
  <si>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</si>
  <si>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</si>
  <si>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="""Mission ERP"",""GBRA"",""15"",""1"",""44214"""</t>
  </si>
  <si>
    <t>=NF(D262,"No.")</t>
  </si>
  <si>
    <t>=NF(D262,"Name")</t>
  </si>
  <si>
    <t>=NL("Sum","G/L Entry","Amount","Fund No.",$C$4,"Budget Plan No.",PYPLAN_FILTER,"G/L Account No.",$E262,"Department Code",Dept_Filter,"Transaction Type","Budget")*-1</t>
  </si>
  <si>
    <t>=NL("Sum","Version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</si>
  <si>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</si>
  <si>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</si>
  <si>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</si>
  <si>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</si>
  <si>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</si>
  <si>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="""Mission ERP"",""GBRA"",""15"",""1"",""44215"""</t>
  </si>
  <si>
    <t>=NF(D263,"No.")</t>
  </si>
  <si>
    <t>=NF(D263,"Name")</t>
  </si>
  <si>
    <t>=NL("Sum","G/L Entry","Amount","Fund No.",$C$4,"Budget Plan No.",PYPLAN_FILTER,"G/L Account No.",$E263,"Department Code",Dept_Filter,"Transaction Type","Budget")*-1</t>
  </si>
  <si>
    <t>=NL("Sum","Version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</si>
  <si>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</si>
  <si>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</si>
  <si>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</si>
  <si>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</si>
  <si>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</si>
  <si>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="""Mission ERP"",""GBRA"",""15"",""1"",""44216"""</t>
  </si>
  <si>
    <t>=NF(D264,"No.")</t>
  </si>
  <si>
    <t>=NF(D264,"Name")</t>
  </si>
  <si>
    <t>=NL("Sum","G/L Entry","Amount","Fund No.",$C$4,"Budget Plan No.",PYPLAN_FILTER,"G/L Account No.",$E264,"Department Code",Dept_Filter,"Transaction Type","Budget")*-1</t>
  </si>
  <si>
    <t>=NL("Sum","Version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</si>
  <si>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</si>
  <si>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</si>
  <si>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</si>
  <si>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</si>
  <si>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</si>
  <si>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="""Mission ERP"",""GBRA"",""15"",""1"",""44217"""</t>
  </si>
  <si>
    <t>=NF(D265,"No.")</t>
  </si>
  <si>
    <t>=NF(D265,"Name")</t>
  </si>
  <si>
    <t>=NL("Sum","G/L Entry","Amount","Fund No.",$C$4,"Budget Plan No.",PYPLAN_FILTER,"G/L Account No.",$E265,"Department Code",Dept_Filter,"Transaction Type","Budget")*-1</t>
  </si>
  <si>
    <t>=NL("Sum","Version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</si>
  <si>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</si>
  <si>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</si>
  <si>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</si>
  <si>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</si>
  <si>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</si>
  <si>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="""Mission ERP"",""GBRA"",""15"",""1"",""44218"""</t>
  </si>
  <si>
    <t>=NF(D266,"No.")</t>
  </si>
  <si>
    <t>=NF(D266,"Name")</t>
  </si>
  <si>
    <t>=NL("Sum","G/L Entry","Amount","Fund No.",$C$4,"Budget Plan No.",PYPLAN_FILTER,"G/L Account No.",$E266,"Department Code",Dept_Filter,"Transaction Type","Budget")*-1</t>
  </si>
  <si>
    <t>=NL("Sum","Version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</si>
  <si>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</si>
  <si>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</si>
  <si>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</si>
  <si>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</si>
  <si>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</si>
  <si>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="""Mission ERP"",""GBRA"",""15"",""1"",""44219"""</t>
  </si>
  <si>
    <t>=NF(D267,"No.")</t>
  </si>
  <si>
    <t>=NF(D267,"Name")</t>
  </si>
  <si>
    <t>=NL("Sum","G/L Entry","Amount","Fund No.",$C$4,"Budget Plan No.",PYPLAN_FILTER,"G/L Account No.",$E267,"Department Code",Dept_Filter,"Transaction Type","Budget")*-1</t>
  </si>
  <si>
    <t>=NL("Sum","Version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</si>
  <si>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</si>
  <si>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</si>
  <si>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</si>
  <si>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</si>
  <si>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</si>
  <si>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="""Mission ERP"",""GBRA"",""15"",""1"",""44220"""</t>
  </si>
  <si>
    <t>=NF(D268,"No.")</t>
  </si>
  <si>
    <t>=NF(D268,"Name")</t>
  </si>
  <si>
    <t>=NL("Sum","G/L Entry","Amount","Fund No.",$C$4,"Budget Plan No.",PYPLAN_FILTER,"G/L Account No.",$E268,"Department Code",Dept_Filter,"Transaction Type","Budget")*-1</t>
  </si>
  <si>
    <t>=NL("Sum","Version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</si>
  <si>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</si>
  <si>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</si>
  <si>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</si>
  <si>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</si>
  <si>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=IF(R269=0,"HIDE","SHOW")</t>
  </si>
  <si>
    <t>="""Mission ERP"",""GBRA"",""15"",""1"",""44221"""</t>
  </si>
  <si>
    <t>=NF(D269,"No.")</t>
  </si>
  <si>
    <t>=NF(D269,"Name")</t>
  </si>
  <si>
    <t>=NL("Sum","G/L Entry","Amount","Fund No.",$C$4,"Budget Plan No.",PYPLAN_FILTER,"G/L Account No.",$E269,"Department Code",Dept_Filter,"Transaction Type","Budget")*-1</t>
  </si>
  <si>
    <t>=NL("Sum","Version LIne Worksheet","Amount","Fund No.",$C$4,"Plan No.",Plan_Filter,"G/L Account No.",$E269,"Department Code",Dept_Filter)*-1</t>
  </si>
  <si>
    <t>=K269-I269</t>
  </si>
  <si>
    <t>=IF(I269=0,0,1)</t>
  </si>
  <si>
    <t>=IF(K269=0,0,1)</t>
  </si>
  <si>
    <t>=P269+Q269</t>
  </si>
  <si>
    <t>=IF(R270=0,"HIDE","SHOW")</t>
  </si>
  <si>
    <t>="""Mission ERP"",""GBRA"",""15"",""1"",""44222"""</t>
  </si>
  <si>
    <t>=NF(D270,"No.")</t>
  </si>
  <si>
    <t>=NF(D270,"Name")</t>
  </si>
  <si>
    <t>=NL("Sum","G/L Entry","Amount","Fund No.",$C$4,"Budget Plan No.",PYPLAN_FILTER,"G/L Account No.",$E270,"Department Code",Dept_Filter,"Transaction Type","Budget")*-1</t>
  </si>
  <si>
    <t>=NL("Sum","Version LIne Worksheet","Amount","Fund No.",$C$4,"Plan No.",Plan_Filter,"G/L Account No.",$E270,"Department Code",Dept_Filter)*-1</t>
  </si>
  <si>
    <t>=K270-I270</t>
  </si>
  <si>
    <t>=IF(I270=0,0,1)</t>
  </si>
  <si>
    <t>=IF(K270=0,0,1)</t>
  </si>
  <si>
    <t>=P270+Q270</t>
  </si>
  <si>
    <t>=IF(R271=0,"HIDE","SHOW")</t>
  </si>
  <si>
    <t>="""Mission ERP"",""GBRA"",""15"",""1"",""44223"""</t>
  </si>
  <si>
    <t>=NF(D271,"No.")</t>
  </si>
  <si>
    <t>=NF(D271,"Name")</t>
  </si>
  <si>
    <t>=NL("Sum","G/L Entry","Amount","Fund No.",$C$4,"Budget Plan No.",PYPLAN_FILTER,"G/L Account No.",$E271,"Department Code",Dept_Filter,"Transaction Type","Budget")*-1</t>
  </si>
  <si>
    <t>=NL("Sum","Version LIne Worksheet","Amount","Fund No.",$C$4,"Plan No.",Plan_Filter,"G/L Account No.",$E271,"Department Code",Dept_Filter)*-1</t>
  </si>
  <si>
    <t>=K271-I271</t>
  </si>
  <si>
    <t>=IF(I271=0,0,1)</t>
  </si>
  <si>
    <t>=IF(K271=0,0,1)</t>
  </si>
  <si>
    <t>=P271+Q271</t>
  </si>
  <si>
    <t>=IF(R272=0,"HIDE","SHOW")</t>
  </si>
  <si>
    <t>="""Mission ERP"",""GBRA"",""15"",""1"",""44224"""</t>
  </si>
  <si>
    <t>=NF(D272,"No.")</t>
  </si>
  <si>
    <t>=NF(D272,"Name")</t>
  </si>
  <si>
    <t>=NL("Sum","G/L Entry","Amount","Fund No.",$C$4,"Budget Plan No.",PYPLAN_FILTER,"G/L Account No.",$E272,"Department Code",Dept_Filter,"Transaction Type","Budget")*-1</t>
  </si>
  <si>
    <t>=NL("Sum","Version LIne Worksheet","Amount","Fund No.",$C$4,"Plan No.",Plan_Filter,"G/L Account No.",$E272,"Department Code",Dept_Filter)*-1</t>
  </si>
  <si>
    <t>=K272-I272</t>
  </si>
  <si>
    <t>=IF(I272=0,0,1)</t>
  </si>
  <si>
    <t>=IF(K272=0,0,1)</t>
  </si>
  <si>
    <t>=P272+Q272</t>
  </si>
  <si>
    <t>=IF(R273=0,"HIDE","SHOW")</t>
  </si>
  <si>
    <t>="""Mission ERP"",""GBRA"",""15"",""1"",""44225"""</t>
  </si>
  <si>
    <t>=NF(D273,"No.")</t>
  </si>
  <si>
    <t>=NF(D273,"Name")</t>
  </si>
  <si>
    <t>=NL("Sum","G/L Entry","Amount","Fund No.",$C$4,"Budget Plan No.",PYPLAN_FILTER,"G/L Account No.",$E273,"Department Code",Dept_Filter,"Transaction Type","Budget")*-1</t>
  </si>
  <si>
    <t>=NL("Sum","Version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</si>
  <si>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</si>
  <si>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</si>
  <si>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</si>
  <si>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</si>
  <si>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</si>
  <si>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="""Mission ERP"",""GBRA"",""15"",""1"",""44226"""</t>
  </si>
  <si>
    <t>=NF(D274,"No.")</t>
  </si>
  <si>
    <t>=NF(D274,"Name")</t>
  </si>
  <si>
    <t>=NL("Sum","G/L Entry","Amount","Fund No.",$C$4,"Budget Plan No.",PYPLAN_FILTER,"G/L Account No.",$E274,"Department Code",Dept_Filter,"Transaction Type","Budget")*-1</t>
  </si>
  <si>
    <t>=NL("Sum","Version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</si>
  <si>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</si>
  <si>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</si>
  <si>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</si>
  <si>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</si>
  <si>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=IF(R275=0,"HIDE","SHOW")</t>
  </si>
  <si>
    <t>="""Mission ERP"",""GBRA"",""15"",""1"",""44227"""</t>
  </si>
  <si>
    <t>=NF(D275,"No.")</t>
  </si>
  <si>
    <t>=NF(D275,"Name")</t>
  </si>
  <si>
    <t>=NL("Sum","G/L Entry","Amount","Fund No.",$C$4,"Budget Plan No.",PYPLAN_FILTER,"G/L Account No.",$E275,"Department Code",Dept_Filter,"Transaction Type","Budget")*-1</t>
  </si>
  <si>
    <t>=NL("Sum","Version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</si>
  <si>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</si>
  <si>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</si>
  <si>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</si>
  <si>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</si>
  <si>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=IF(R276=0,"HIDE","SHOW")</t>
  </si>
  <si>
    <t>="""Mission ERP"",""GBRA"",""15"",""1"",""44228"""</t>
  </si>
  <si>
    <t>=NF(D276,"No.")</t>
  </si>
  <si>
    <t>=NF(D276,"Name")</t>
  </si>
  <si>
    <t>=NL("Sum","G/L Entry","Amount","Fund No.",$C$4,"Budget Plan No.",PYPLAN_FILTER,"G/L Account No.",$E276,"Department Code",Dept_Filter,"Transaction Type","Budget")*-1</t>
  </si>
  <si>
    <t>=NL("Sum","Version LIne Worksheet","Amount","Fund No.",$C$4,"Plan No.",Plan_Filter,"G/L Account No.",$E276,"Department Code",Dept_Filter)*-1</t>
  </si>
  <si>
    <t>=K276-I276</t>
  </si>
  <si>
    <t>=IF(I276=0,0,1)</t>
  </si>
  <si>
    <t>=IF(K276=0,0,1)</t>
  </si>
  <si>
    <t>=P276+Q276</t>
  </si>
  <si>
    <t>=IF(R277=0,"HIDE","SHOW")</t>
  </si>
  <si>
    <t>="""Mission ERP"",""GBRA"",""15"",""1"",""44229"""</t>
  </si>
  <si>
    <t>=NF(D277,"No.")</t>
  </si>
  <si>
    <t>=NF(D277,"Name")</t>
  </si>
  <si>
    <t>=NL("Sum","G/L Entry","Amount","Fund No.",$C$4,"Budget Plan No.",PYPLAN_FILTER,"G/L Account No.",$E277,"Department Code",Dept_Filter,"Transaction Type","Budget")*-1</t>
  </si>
  <si>
    <t>=NL("Sum","Version LIne Worksheet","Amount","Fund No.",$C$4,"Plan No.",Plan_Filter,"G/L Account No.",$E277,"Department Code",Dept_Filter)*-1</t>
  </si>
  <si>
    <t>=K277-I277</t>
  </si>
  <si>
    <t>=IF(I277=0,0,1)</t>
  </si>
  <si>
    <t>=IF(K277=0,0,1)</t>
  </si>
  <si>
    <t>=P277+Q277</t>
  </si>
  <si>
    <t>=IF(R278=0,"HIDE","SHOW")</t>
  </si>
  <si>
    <t>="""Mission ERP"",""GBRA"",""15"",""1"",""44230"""</t>
  </si>
  <si>
    <t>=NF(D278,"No.")</t>
  </si>
  <si>
    <t>=NF(D278,"Name")</t>
  </si>
  <si>
    <t>=NL("Sum","G/L Entry","Amount","Fund No.",$C$4,"Budget Plan No.",PYPLAN_FILTER,"G/L Account No.",$E278,"Department Code",Dept_Filter,"Transaction Type","Budget")*-1</t>
  </si>
  <si>
    <t>=NL("Sum","Version LIne Worksheet","Amount","Fund No.",$C$4,"Plan No.",Plan_Filter,"G/L Account No.",$E278,"Department Code",Dept_Filter)*-1</t>
  </si>
  <si>
    <t>=K278-I278</t>
  </si>
  <si>
    <t>=IF(I278=0,0,1)</t>
  </si>
  <si>
    <t>=IF(K278=0,0,1)</t>
  </si>
  <si>
    <t>=P278+Q278</t>
  </si>
  <si>
    <t>=IF(R279=0,"HIDE","SHOW")</t>
  </si>
  <si>
    <t>="""Mission ERP"",""GBRA"",""15"",""1"",""44231"""</t>
  </si>
  <si>
    <t>=NF(D279,"No.")</t>
  </si>
  <si>
    <t>=NF(D279,"Name")</t>
  </si>
  <si>
    <t>=NL("Sum","G/L Entry","Amount","Fund No.",$C$4,"Budget Plan No.",PYPLAN_FILTER,"G/L Account No.",$E279,"Department Code",Dept_Filter,"Transaction Type","Budget")*-1</t>
  </si>
  <si>
    <t>=NL("Sum","Version LIne Worksheet","Amount","Fund No.",$C$4,"Plan No.",Plan_Filter,"G/L Account No.",$E279,"Department Code",Dept_Filter)*-1</t>
  </si>
  <si>
    <t>=K279-I279</t>
  </si>
  <si>
    <t>=IF(I279=0,0,1)</t>
  </si>
  <si>
    <t>=IF(K279=0,0,1)</t>
  </si>
  <si>
    <t>=P279+Q279</t>
  </si>
  <si>
    <t>=IF(R280=0,"HIDE","SHOW")</t>
  </si>
  <si>
    <t>="""Mission ERP"",""GBRA"",""15"",""1"",""44232"""</t>
  </si>
  <si>
    <t>=NF(D280,"No.")</t>
  </si>
  <si>
    <t>=NF(D280,"Name")</t>
  </si>
  <si>
    <t>=NL("Sum","G/L Entry","Amount","Fund No.",$C$4,"Budget Plan No.",PYPLAN_FILTER,"G/L Account No.",$E280,"Department Code",Dept_Filter,"Transaction Type","Budget")*-1</t>
  </si>
  <si>
    <t>=NL("Sum","Version LIne Worksheet","Amount","Fund No.",$C$4,"Plan No.",Plan_Filter,"G/L Account No.",$E280,"Department Code",Dept_Filter)*-1</t>
  </si>
  <si>
    <t>=K280-I280</t>
  </si>
  <si>
    <t>=IF(I280=0,0,1)</t>
  </si>
  <si>
    <t>=IF(K280=0,0,1)</t>
  </si>
  <si>
    <t>=P280+Q280</t>
  </si>
  <si>
    <t>=IF(R281=0,"HIDE","SHOW")</t>
  </si>
  <si>
    <t>="""Mission ERP"",""GBRA"",""15"",""1"",""44233"""</t>
  </si>
  <si>
    <t>=NF(D281,"No.")</t>
  </si>
  <si>
    <t>=NF(D281,"Name")</t>
  </si>
  <si>
    <t>=NL("Sum","G/L Entry","Amount","Fund No.",$C$4,"Budget Plan No.",PYPLAN_FILTER,"G/L Account No.",$E281,"Department Code",Dept_Filter,"Transaction Type","Budget")*-1</t>
  </si>
  <si>
    <t>=NL("Sum","Version LIne Worksheet","Amount","Fund No.",$C$4,"Plan No.",Plan_Filter,"G/L Account No.",$E281,"Department Code",Dept_Filter)*-1</t>
  </si>
  <si>
    <t>=K281-I281</t>
  </si>
  <si>
    <t>=IF(I281=0,0,1)</t>
  </si>
  <si>
    <t>=IF(K281=0,0,1)</t>
  </si>
  <si>
    <t>=P281+Q281</t>
  </si>
  <si>
    <t>=IF(R282=0,"HIDE","SHOW")</t>
  </si>
  <si>
    <t>="""Mission ERP"",""GBRA"",""15"",""1"",""44234"""</t>
  </si>
  <si>
    <t>=NF(D282,"No.")</t>
  </si>
  <si>
    <t>=NF(D282,"Name")</t>
  </si>
  <si>
    <t>=NL("Sum","G/L Entry","Amount","Fund No.",$C$4,"Budget Plan No.",PYPLAN_FILTER,"G/L Account No.",$E282,"Department Code",Dept_Filter,"Transaction Type","Budget")*-1</t>
  </si>
  <si>
    <t>=NL("Sum","Version LIne Worksheet","Amount","Fund No.",$C$4,"Plan No.",Plan_Filter,"G/L Account No.",$E282,"Department Code",Dept_Filter)*-1</t>
  </si>
  <si>
    <t>=K282-I282</t>
  </si>
  <si>
    <t>=IF(I282=0,0,1)</t>
  </si>
  <si>
    <t>=IF(K282=0,0,1)</t>
  </si>
  <si>
    <t>=P282+Q282</t>
  </si>
  <si>
    <t>=IF(R283=0,"HIDE","SHOW")</t>
  </si>
  <si>
    <t>="""Mission ERP"",""GBRA"",""15"",""1"",""44235"""</t>
  </si>
  <si>
    <t>=NF(D283,"No.")</t>
  </si>
  <si>
    <t>=NF(D283,"Name")</t>
  </si>
  <si>
    <t>=NL("Sum","G/L Entry","Amount","Fund No.",$C$4,"Budget Plan No.",PYPLAN_FILTER,"G/L Account No.",$E283,"Department Code",Dept_Filter,"Transaction Type","Budget")*-1</t>
  </si>
  <si>
    <t>=NL("Sum","Version LIne Worksheet","Amount","Fund No.",$C$4,"Plan No.",Plan_Filter,"G/L Account No.",$E283,"Department Code",Dept_Filter)*-1</t>
  </si>
  <si>
    <t>=K283-I283</t>
  </si>
  <si>
    <t>=IF(I283=0,0,1)</t>
  </si>
  <si>
    <t>=IF(K283=0,0,1)</t>
  </si>
  <si>
    <t>=P283+Q283</t>
  </si>
  <si>
    <t>=IF(R284=0,"HIDE","SHOW")</t>
  </si>
  <si>
    <t>="""Mission ERP"",""GBRA"",""15"",""1"",""44236"""</t>
  </si>
  <si>
    <t>=NF(D284,"No.")</t>
  </si>
  <si>
    <t>=NF(D284,"Name")</t>
  </si>
  <si>
    <t>=NL("Sum","G/L Entry","Amount","Fund No.",$C$4,"Budget Plan No.",PYPLAN_FILTER,"G/L Account No.",$E284,"Department Code",Dept_Filter,"Transaction Type","Budget")*-1</t>
  </si>
  <si>
    <t>=NL("Sum","Version LIne Worksheet","Amount","Fund No.",$C$4,"Plan No.",Plan_Filter,"G/L Account No.",$E284,"Department Code",Dept_Filter)*-1</t>
  </si>
  <si>
    <t>=K284-I284</t>
  </si>
  <si>
    <t>=IF(I284=0,0,1)</t>
  </si>
  <si>
    <t>=IF(K284=0,0,1)</t>
  </si>
  <si>
    <t>=P284+Q284</t>
  </si>
  <si>
    <t>=IF(R285=0,"HIDE","SHOW")</t>
  </si>
  <si>
    <t>="""Mission ERP"",""GBRA"",""15"",""1"",""44237"""</t>
  </si>
  <si>
    <t>=NF(D285,"No.")</t>
  </si>
  <si>
    <t>=NF(D285,"Name")</t>
  </si>
  <si>
    <t>=NL("Sum","G/L Entry","Amount","Fund No.",$C$4,"Budget Plan No.",PYPLAN_FILTER,"G/L Account No.",$E285,"Department Code",Dept_Filter,"Transaction Type","Budget")*-1</t>
  </si>
  <si>
    <t>=NL("Sum","Version LIne Worksheet","Amount","Fund No.",$C$4,"Plan No.",Plan_Filter,"G/L Account No.",$E285,"Department Code",Dept_Filter)*-1</t>
  </si>
  <si>
    <t>=K285-I285</t>
  </si>
  <si>
    <t>=IF(I285=0,0,1)</t>
  </si>
  <si>
    <t>=IF(K285=0,0,1)</t>
  </si>
  <si>
    <t>=P285+Q285</t>
  </si>
  <si>
    <t>=IF(R286=0,"HIDE","SHOW")</t>
  </si>
  <si>
    <t>="""Mission ERP"",""GBRA"",""15"",""1"",""44238"""</t>
  </si>
  <si>
    <t>=NF(D286,"No.")</t>
  </si>
  <si>
    <t>=NF(D286,"Name")</t>
  </si>
  <si>
    <t>=NL("Sum","G/L Entry","Amount","Fund No.",$C$4,"Budget Plan No.",PYPLAN_FILTER,"G/L Account No.",$E286,"Department Code",Dept_Filter,"Transaction Type","Budget")*-1</t>
  </si>
  <si>
    <t>=NL("Sum","Version LIne Worksheet","Amount","Fund No.",$C$4,"Plan No.",Plan_Filter,"G/L Account No.",$E286,"Department Code",Dept_Filter)*-1</t>
  </si>
  <si>
    <t>=K286-I286</t>
  </si>
  <si>
    <t>=IF(I286=0,0,1)</t>
  </si>
  <si>
    <t>=IF(K286=0,0,1)</t>
  </si>
  <si>
    <t>=P286+Q286</t>
  </si>
  <si>
    <t>=IF(R287=0,"HIDE","SHOW")</t>
  </si>
  <si>
    <t>="""Mission ERP"",""GBRA"",""15"",""1"",""44239"""</t>
  </si>
  <si>
    <t>=NF(D287,"No.")</t>
  </si>
  <si>
    <t>=NF(D287,"Name")</t>
  </si>
  <si>
    <t>=NL("Sum","G/L Entry","Amount","Fund No.",$C$4,"Budget Plan No.",PYPLAN_FILTER,"G/L Account No.",$E287,"Department Code",Dept_Filter,"Transaction Type","Budget")*-1</t>
  </si>
  <si>
    <t>=NL("Sum","Version LIne Worksheet","Amount","Fund No.",$C$4,"Plan No.",Plan_Filter,"G/L Account No.",$E287,"Department Code",Dept_Filter)*-1</t>
  </si>
  <si>
    <t>=K287-I287</t>
  </si>
  <si>
    <t>=IF(I287=0,0,1)</t>
  </si>
  <si>
    <t>=IF(K287=0,0,1)</t>
  </si>
  <si>
    <t>=P287+Q287</t>
  </si>
  <si>
    <t>=IF(R288=0,"HIDE","SHOW")</t>
  </si>
  <si>
    <t>="""Mission ERP"",""GBRA"",""15"",""1"",""44240"""</t>
  </si>
  <si>
    <t>=NF(D288,"No.")</t>
  </si>
  <si>
    <t>=NF(D288,"Name")</t>
  </si>
  <si>
    <t>=NL("Sum","G/L Entry","Amount","Fund No.",$C$4,"Budget Plan No.",PYPLAN_FILTER,"G/L Account No.",$E288,"Department Code",Dept_Filter,"Transaction Type","Budget")*-1</t>
  </si>
  <si>
    <t>=NL("Sum","Version LIne Worksheet","Amount","Fund No.",$C$4,"Plan No.",Plan_Filter,"G/L Account No.",$E288,"Department Code",Dept_Filter)*-1</t>
  </si>
  <si>
    <t>=K288-I288</t>
  </si>
  <si>
    <t>=IF(I288=0,0,1)</t>
  </si>
  <si>
    <t>=IF(K288=0,0,1)</t>
  </si>
  <si>
    <t>=P288+Q288</t>
  </si>
  <si>
    <t>=IF(R289=0,"HIDE","SHOW")</t>
  </si>
  <si>
    <t>="""Mission ERP"",""GBRA"",""15"",""1"",""44241"""</t>
  </si>
  <si>
    <t>=NF(D289,"No.")</t>
  </si>
  <si>
    <t>=NF(D289,"Name")</t>
  </si>
  <si>
    <t>=NL("Sum","G/L Entry","Amount","Fund No.",$C$4,"Budget Plan No.",PYPLAN_FILTER,"G/L Account No.",$E289,"Department Code",Dept_Filter,"Transaction Type","Budget")*-1</t>
  </si>
  <si>
    <t>=NL("Sum","Version LIne Worksheet","Amount","Fund No.",$C$4,"Plan No.",Plan_Filter,"G/L Account No.",$E289,"Department Code",Dept_Filter)*-1</t>
  </si>
  <si>
    <t>=K289-I289</t>
  </si>
  <si>
    <t>=IF(I289=0,0,1)</t>
  </si>
  <si>
    <t>=IF(K289=0,0,1)</t>
  </si>
  <si>
    <t>=P289+Q289</t>
  </si>
  <si>
    <t>=IF(R290=0,"HIDE","SHOW")</t>
  </si>
  <si>
    <t>="""Mission ERP"",""GBRA"",""15"",""1"",""44242"""</t>
  </si>
  <si>
    <t>=NF(D290,"No.")</t>
  </si>
  <si>
    <t>=NF(D290,"Name")</t>
  </si>
  <si>
    <t>=NL("Sum","G/L Entry","Amount","Fund No.",$C$4,"Budget Plan No.",PYPLAN_FILTER,"G/L Account No.",$E290,"Department Code",Dept_Filter,"Transaction Type","Budget")*-1</t>
  </si>
  <si>
    <t>=NL("Sum","Version LIne Worksheet","Amount","Fund No.",$C$4,"Plan No.",Plan_Filter,"G/L Account No.",$E290,"Department Code",Dept_Filter)*-1</t>
  </si>
  <si>
    <t>=K290-I290</t>
  </si>
  <si>
    <t>=IF(I290=0,0,1)</t>
  </si>
  <si>
    <t>=IF(K290=0,0,1)</t>
  </si>
  <si>
    <t>=P290+Q290</t>
  </si>
  <si>
    <t>=IF(R291=0,"HIDE","SHOW")</t>
  </si>
  <si>
    <t>="""Mission ERP"",""GBRA"",""15"",""1"",""44243"""</t>
  </si>
  <si>
    <t>=NF(D291,"No.")</t>
  </si>
  <si>
    <t>=NF(D291,"Name")</t>
  </si>
  <si>
    <t>=NL("Sum","G/L Entry","Amount","Fund No.",$C$4,"Budget Plan No.",PYPLAN_FILTER,"G/L Account No.",$E291,"Department Code",Dept_Filter,"Transaction Type","Budget")*-1</t>
  </si>
  <si>
    <t>=NL("Sum","Version LIne Worksheet","Amount","Fund No.",$C$4,"Plan No.",Plan_Filter,"G/L Account No.",$E291,"Department Code",Dept_Filter)*-1</t>
  </si>
  <si>
    <t>=K291-I291</t>
  </si>
  <si>
    <t>=IF(I291=0,0,1)</t>
  </si>
  <si>
    <t>=IF(K291=0,0,1)</t>
  </si>
  <si>
    <t>=P291+Q291</t>
  </si>
  <si>
    <t>=IF(R292=0,"HIDE","SHOW")</t>
  </si>
  <si>
    <t>="""Mission ERP"",""GBRA"",""15"",""1"",""44244"""</t>
  </si>
  <si>
    <t>=NF(D292,"No.")</t>
  </si>
  <si>
    <t>=NF(D292,"Name")</t>
  </si>
  <si>
    <t>=NL("Sum","G/L Entry","Amount","Fund No.",$C$4,"Budget Plan No.",PYPLAN_FILTER,"G/L Account No.",$E292,"Department Code",Dept_Filter,"Transaction Type","Budget")*-1</t>
  </si>
  <si>
    <t>=NL("Sum","Version LIne Worksheet","Amount","Fund No.",$C$4,"Plan No.",Plan_Filter,"G/L Account No.",$E292,"Department Code",Dept_Filter)*-1</t>
  </si>
  <si>
    <t>=K292-I292</t>
  </si>
  <si>
    <t>=IF(I292=0,0,1)</t>
  </si>
  <si>
    <t>=IF(K292=0,0,1)</t>
  </si>
  <si>
    <t>=P292+Q292</t>
  </si>
  <si>
    <t>=IF(R293=0,"HIDE","SHOW")</t>
  </si>
  <si>
    <t>="""Mission ERP"",""GBRA"",""15"",""1"",""44245"""</t>
  </si>
  <si>
    <t>=NF(D293,"No.")</t>
  </si>
  <si>
    <t>=NF(D293,"Name")</t>
  </si>
  <si>
    <t>=NL("Sum","G/L Entry","Amount","Fund No.",$C$4,"Budget Plan No.",PYPLAN_FILTER,"G/L Account No.",$E293,"Department Code",Dept_Filter,"Transaction Type","Budget")*-1</t>
  </si>
  <si>
    <t>=NL("Sum","Version LIne Worksheet","Amount","Fund No.",$C$4,"Plan No.",Plan_Filter,"G/L Account No.",$E293,"Department Code",Dept_Filter)*-1</t>
  </si>
  <si>
    <t>=K293-I293</t>
  </si>
  <si>
    <t>=IF(I293=0,0,1)</t>
  </si>
  <si>
    <t>=IF(K293=0,0,1)</t>
  </si>
  <si>
    <t>=P293+Q293</t>
  </si>
  <si>
    <t>=IF(R294=0,"HIDE","SHOW")</t>
  </si>
  <si>
    <t>="""Mission ERP"",""GBRA"",""15"",""1"",""44246"""</t>
  </si>
  <si>
    <t>=NF(D294,"No.")</t>
  </si>
  <si>
    <t>=NF(D294,"Name")</t>
  </si>
  <si>
    <t>=NL("Sum","G/L Entry","Amount","Fund No.",$C$4,"Budget Plan No.",PYPLAN_FILTER,"G/L Account No.",$E294,"Department Code",Dept_Filter,"Transaction Type","Budget")*-1</t>
  </si>
  <si>
    <t>=NL("Sum","Version LIne Worksheet","Amount","Fund No.",$C$4,"Plan No.",Plan_Filter,"G/L Account No.",$E294,"Department Code",Dept_Filter)*-1</t>
  </si>
  <si>
    <t>=K294-I294</t>
  </si>
  <si>
    <t>=IF(I294=0,0,1)</t>
  </si>
  <si>
    <t>=IF(K294=0,0,1)</t>
  </si>
  <si>
    <t>=P294+Q294</t>
  </si>
  <si>
    <t>=IF(R295=0,"HIDE","SHOW")</t>
  </si>
  <si>
    <t>="""Mission ERP"",""GBRA"",""15"",""1"",""44290"""</t>
  </si>
  <si>
    <t>=NF(D295,"No.")</t>
  </si>
  <si>
    <t>=NF(D295,"Name")</t>
  </si>
  <si>
    <t>=NL("Sum","G/L Entry","Amount","Fund No.",$C$4,"Budget Plan No.",PYPLAN_FILTER,"G/L Account No.",$E295,"Department Code",Dept_Filter,"Transaction Type","Budget")*-1</t>
  </si>
  <si>
    <t>=NL("Sum","Version LIne Worksheet","Amount","Fund No.",$C$4,"Plan No.",Plan_Filter,"G/L Account No.",$E295,"Department Code",Dept_Filter)*-1</t>
  </si>
  <si>
    <t>=K295-I295</t>
  </si>
  <si>
    <t>=IF(I295=0,0,1)</t>
  </si>
  <si>
    <t>=IF(K295=0,0,1)</t>
  </si>
  <si>
    <t>=P295+Q295</t>
  </si>
  <si>
    <t>=IF(R296=0,"HIDE","SHOW")</t>
  </si>
  <si>
    <t>="""Mission ERP"",""GBRA"",""15"",""1"",""44298"""</t>
  </si>
  <si>
    <t>=NF(D296,"No.")</t>
  </si>
  <si>
    <t>=NF(D296,"Name")</t>
  </si>
  <si>
    <t>=NL("Sum","G/L Entry","Amount","Fund No.",$C$4,"Budget Plan No.",PYPLAN_FILTER,"G/L Account No.",$E296,"Department Code",Dept_Filter,"Transaction Type","Budget")*-1</t>
  </si>
  <si>
    <t>=NL("Sum","Version LIne Worksheet","Amount","Fund No.",$C$4,"Plan No.",Plan_Filter,"G/L Account No.",$E296,"Department Code",Dept_Filter)*-1</t>
  </si>
  <si>
    <t>=K296-I296</t>
  </si>
  <si>
    <t>=IF(I296=0,0,1)</t>
  </si>
  <si>
    <t>=IF(K296=0,0,1)</t>
  </si>
  <si>
    <t>=P296+Q296</t>
  </si>
  <si>
    <t>=IF(R298=0,"HIDE","SHOW")</t>
  </si>
  <si>
    <t>=CONCATENATE("Total ",F248)</t>
  </si>
  <si>
    <t>=SUM(I249:I297)</t>
  </si>
  <si>
    <t>=SUM(K249:K297)</t>
  </si>
  <si>
    <t>=K298-I298</t>
  </si>
  <si>
    <t>=IF(I298=0,0,1)</t>
  </si>
  <si>
    <t>=IF(K298=0,0,1)</t>
  </si>
  <si>
    <t>=P298+Q298</t>
  </si>
  <si>
    <t>=B307</t>
  </si>
  <si>
    <t>=NL("First","G/L Account","Name","No.",C300)</t>
  </si>
  <si>
    <t>=IF(R301=0,"HIDE","SHOW")</t>
  </si>
  <si>
    <t>=NL("Rows","G/L Account",,"No.",C301)</t>
  </si>
  <si>
    <t>=NF(D301,"No.")</t>
  </si>
  <si>
    <t>=NF(D301,"Name")</t>
  </si>
  <si>
    <t>=NL("Sum","G/L Entry","Amount","Fund No.",$C$4,"Budget Plan No.",PYPLAN_FILTER,"G/L Account No.",$E301,"Department Code",Dept_Filter,"Transaction Type","Budget")*-1</t>
  </si>
  <si>
    <t>=NL("Sum","Version LIne Worksheet","Amount","Fund No.",$C$4,"Plan No.",Plan_Filter,"G/L Account No.",$E301,"Department Code",Dept_Filter)*-1</t>
  </si>
  <si>
    <t>=K301-I301</t>
  </si>
  <si>
    <t>=IF(I301=0,0,1)</t>
  </si>
  <si>
    <t>=IF(K301=0,0,1)</t>
  </si>
  <si>
    <t>=P301+Q301</t>
  </si>
  <si>
    <t>=IF(R302=0,"HIDE","SHOW")</t>
  </si>
  <si>
    <t>="""Mission ERP"",""GBRA"",""15"",""1"",""45120"""</t>
  </si>
  <si>
    <t>=NF(D302,"No.")</t>
  </si>
  <si>
    <t>=NF(D302,"Name")</t>
  </si>
  <si>
    <t>=NL("Sum","G/L Entry","Amount","Fund No.",$C$4,"Budget Plan No.",PYPLAN_FILTER,"G/L Account No.",$E302,"Department Code",Dept_Filter,"Transaction Type","Budget")*-1</t>
  </si>
  <si>
    <t>=NL("Sum","Version LIne Worksheet","Amount","Fund No.",$C$4,"Plan No.",Plan_Filter,"G/L Account No.",$E302,"Department Code",Dept_Filter)*-1</t>
  </si>
  <si>
    <t>=K302-I302</t>
  </si>
  <si>
    <t>=IF(I302=0,0,1)</t>
  </si>
  <si>
    <t>=IF(K302=0,0,1)</t>
  </si>
  <si>
    <t>=P302+Q302</t>
  </si>
  <si>
    <t>=IF(R303=0,"HIDE","SHOW")</t>
  </si>
  <si>
    <t>="""Mission ERP"",""GBRA"",""15"",""1"",""45130"""</t>
  </si>
  <si>
    <t>=NF(D303,"No.")</t>
  </si>
  <si>
    <t>=NF(D303,"Name")</t>
  </si>
  <si>
    <t>=NL("Sum","G/L Entry","Amount","Fund No.",$C$4,"Budget Plan No.",PYPLAN_FILTER,"G/L Account No.",$E303,"Department Code",Dept_Filter,"Transaction Type","Budget")*-1</t>
  </si>
  <si>
    <t>=NL("Sum","Version LIne Worksheet","Amount","Fund No.",$C$4,"Plan No.",Plan_Filter,"G/L Account No.",$E303,"Department Code",Dept_Filter)*-1</t>
  </si>
  <si>
    <t>=K303-I303</t>
  </si>
  <si>
    <t>=IF(I303=0,0,1)</t>
  </si>
  <si>
    <t>=IF(K303=0,0,1)</t>
  </si>
  <si>
    <t>=P303+Q303</t>
  </si>
  <si>
    <t>=IF(R304=0,"HIDE","SHOW")</t>
  </si>
  <si>
    <t>="""Mission ERP"",""GBRA"",""15"",""1"",""45140"""</t>
  </si>
  <si>
    <t>=NF(D304,"No.")</t>
  </si>
  <si>
    <t>=NF(D304,"Name")</t>
  </si>
  <si>
    <t>=NL("Sum","G/L Entry","Amount","Fund No.",$C$4,"Budget Plan No.",PYPLAN_FILTER,"G/L Account No.",$E304,"Department Code",Dept_Filter,"Transaction Type","Budget")*-1</t>
  </si>
  <si>
    <t>=NL("Sum","Version LIne Worksheet","Amount","Fund No.",$C$4,"Plan No.",Plan_Filter,"G/L Account No.",$E304,"Department Code",Dept_Filter)*-1</t>
  </si>
  <si>
    <t>=K304-I304</t>
  </si>
  <si>
    <t>=IF(I304=0,0,1)</t>
  </si>
  <si>
    <t>=IF(K304=0,0,1)</t>
  </si>
  <si>
    <t>=P304+Q304</t>
  </si>
  <si>
    <t>=IF(R305=0,"HIDE","SHOW")</t>
  </si>
  <si>
    <t>="""Mission ERP"",""GBRA"",""15"",""1"",""45195"""</t>
  </si>
  <si>
    <t>=NF(D305,"No.")</t>
  </si>
  <si>
    <t>=NF(D305,"Name")</t>
  </si>
  <si>
    <t>=NL("Sum","G/L Entry","Amount","Fund No.",$C$4,"Budget Plan No.",PYPLAN_FILTER,"G/L Account No.",$E305,"Department Code",Dept_Filter,"Transaction Type","Budget")*-1</t>
  </si>
  <si>
    <t>=NL("Sum","Version LIne Worksheet","Amount","Fund No.",$C$4,"Plan No.",Plan_Filter,"G/L Account No.",$E305,"Department Code",Dept_Filter)*-1</t>
  </si>
  <si>
    <t>=K305-I305</t>
  </si>
  <si>
    <t>=IF(I305=0,0,1)</t>
  </si>
  <si>
    <t>=IF(K305=0,0,1)</t>
  </si>
  <si>
    <t>=P305+Q305</t>
  </si>
  <si>
    <t>=IF(R307=0,"HIDE","SHOW")</t>
  </si>
  <si>
    <t>=CONCATENATE("Total ",F300)</t>
  </si>
  <si>
    <t>=SUM(I301:I306)</t>
  </si>
  <si>
    <t>=SUM(K301:K306)</t>
  </si>
  <si>
    <t>=K307-I307</t>
  </si>
  <si>
    <t>=IF(I307=0,0,1)</t>
  </si>
  <si>
    <t>=IF(K307=0,0,1)</t>
  </si>
  <si>
    <t>=P307+Q307</t>
  </si>
  <si>
    <t>=B319</t>
  </si>
  <si>
    <t>=NL("First","G/L Account","Name","No.",C309)</t>
  </si>
  <si>
    <t>=IF(R310=0,"HIDE","SHOW")</t>
  </si>
  <si>
    <t>=NL("Rows","G/L Account",,"No.",C310)</t>
  </si>
  <si>
    <t>=NF(D310,"No.")</t>
  </si>
  <si>
    <t>=NF(D310,"Name")</t>
  </si>
  <si>
    <t>=NL("Sum","G/L Entry","Amount","Fund No.",$C$4,"Budget Plan No.",PYPLAN_FILTER,"G/L Account No.",$E310,"Department Code",Dept_Filter,"Transaction Type","Budget")*-1</t>
  </si>
  <si>
    <t>=NL("Sum","Version LIne Worksheet","Amount","Fund No.",$C$4,"Plan No.",Plan_Filter,"G/L Account No.",$E310,"Department Code",Dept_Filter)*-1</t>
  </si>
  <si>
    <t>=K310-I310</t>
  </si>
  <si>
    <t>=IF(I310=0,0,1)</t>
  </si>
  <si>
    <t>=IF(K310=0,0,1)</t>
  </si>
  <si>
    <t>=P310+Q310</t>
  </si>
  <si>
    <t>=IF(R311=0,"HIDE","SHOW")</t>
  </si>
  <si>
    <t>="""Mission ERP"",""GBRA"",""15"",""1"",""45241"""</t>
  </si>
  <si>
    <t>=NF(D311,"No.")</t>
  </si>
  <si>
    <t>=NF(D311,"Name")</t>
  </si>
  <si>
    <t>=NL("Sum","G/L Entry","Amount","Fund No.",$C$4,"Budget Plan No.",PYPLAN_FILTER,"G/L Account No.",$E311,"Department Code",Dept_Filter,"Transaction Type","Budget")*-1</t>
  </si>
  <si>
    <t>=NL("Sum","Version LIne Worksheet","Amount","Fund No.",$C$4,"Plan No.",Plan_Filter,"G/L Account No.",$E311,"Department Code",Dept_Filter)*-1</t>
  </si>
  <si>
    <t>=K311-I311</t>
  </si>
  <si>
    <t>=IF(I311=0,0,1)</t>
  </si>
  <si>
    <t>=IF(K311=0,0,1)</t>
  </si>
  <si>
    <t>=P311+Q311</t>
  </si>
  <si>
    <t>=IF(R312=0,"HIDE","SHOW")</t>
  </si>
  <si>
    <t>="""Mission ERP"",""GBRA"",""15"",""1"",""45242"""</t>
  </si>
  <si>
    <t>=NF(D312,"No.")</t>
  </si>
  <si>
    <t>=NF(D312,"Name")</t>
  </si>
  <si>
    <t>=NL("Sum","G/L Entry","Amount","Fund No.",$C$4,"Budget Plan No.",PYPLAN_FILTER,"G/L Account No.",$E312,"Department Code",Dept_Filter,"Transaction Type","Budget")*-1</t>
  </si>
  <si>
    <t>=NL("Sum","Version LIne Worksheet","Amount","Fund No.",$C$4,"Plan No.",Plan_Filter,"G/L Account No.",$E312,"Department Code",Dept_Filter)*-1</t>
  </si>
  <si>
    <t>=K312-I312</t>
  </si>
  <si>
    <t>=IF(I312=0,0,1)</t>
  </si>
  <si>
    <t>=IF(K312=0,0,1)</t>
  </si>
  <si>
    <t>=P312+Q312</t>
  </si>
  <si>
    <t>=IF(R313=0,"HIDE","SHOW")</t>
  </si>
  <si>
    <t>="""Mission ERP"",""GBRA"",""15"",""1"",""45243"""</t>
  </si>
  <si>
    <t>=NF(D313,"No.")</t>
  </si>
  <si>
    <t>=NF(D313,"Name")</t>
  </si>
  <si>
    <t>=NL("Sum","G/L Entry","Amount","Fund No.",$C$4,"Budget Plan No.",PYPLAN_FILTER,"G/L Account No.",$E313,"Department Code",Dept_Filter,"Transaction Type","Budget")*-1</t>
  </si>
  <si>
    <t>=NL("Sum","Version LIne Worksheet","Amount","Fund No.",$C$4,"Plan No.",Plan_Filter,"G/L Account No.",$E313,"Department Code",Dept_Filter)*-1</t>
  </si>
  <si>
    <t>=K313-I313</t>
  </si>
  <si>
    <t>=IF(I313=0,0,1)</t>
  </si>
  <si>
    <t>=IF(K313=0,0,1)</t>
  </si>
  <si>
    <t>=P313+Q313</t>
  </si>
  <si>
    <t>=IF(R314=0,"HIDE","SHOW")</t>
  </si>
  <si>
    <t>="""Mission ERP"",""GBRA"",""15"",""1"",""45244"""</t>
  </si>
  <si>
    <t>=NF(D314,"No.")</t>
  </si>
  <si>
    <t>=NF(D314,"Name")</t>
  </si>
  <si>
    <t>=NL("Sum","G/L Entry","Amount","Fund No.",$C$4,"Budget Plan No.",PYPLAN_FILTER,"G/L Account No.",$E314,"Department Code",Dept_Filter,"Transaction Type","Budget")*-1</t>
  </si>
  <si>
    <t>=NL("Sum","Version LIne Worksheet","Amount","Fund No.",$C$4,"Plan No.",Plan_Filter,"G/L Account No.",$E314,"Department Code",Dept_Filter)*-1</t>
  </si>
  <si>
    <t>=K314-I314</t>
  </si>
  <si>
    <t>=IF(I314=0,0,1)</t>
  </si>
  <si>
    <t>=IF(K314=0,0,1)</t>
  </si>
  <si>
    <t>=P314+Q314</t>
  </si>
  <si>
    <t>=IF(R315=0,"HIDE","SHOW")</t>
  </si>
  <si>
    <t>="""Mission ERP"",""GBRA"",""15"",""1"",""45245"""</t>
  </si>
  <si>
    <t>=NF(D315,"No.")</t>
  </si>
  <si>
    <t>=NF(D315,"Name")</t>
  </si>
  <si>
    <t>=NL("Sum","G/L Entry","Amount","Fund No.",$C$4,"Budget Plan No.",PYPLAN_FILTER,"G/L Account No.",$E315,"Department Code",Dept_Filter,"Transaction Type","Budget")*-1</t>
  </si>
  <si>
    <t>=NL("Sum","Version LIne Worksheet","Amount","Fund No.",$C$4,"Plan No.",Plan_Filter,"G/L Account No.",$E315,"Department Code",Dept_Filter)*-1</t>
  </si>
  <si>
    <t>=K315-I315</t>
  </si>
  <si>
    <t>=IF(I315=0,0,1)</t>
  </si>
  <si>
    <t>=IF(K315=0,0,1)</t>
  </si>
  <si>
    <t>=P315+Q315</t>
  </si>
  <si>
    <t>=IF(R316=0,"HIDE","SHOW")</t>
  </si>
  <si>
    <t>="""Mission ERP"",""GBRA"",""15"",""1"",""45246"""</t>
  </si>
  <si>
    <t>=NF(D316,"No.")</t>
  </si>
  <si>
    <t>=NF(D316,"Name")</t>
  </si>
  <si>
    <t>=NL("Sum","G/L Entry","Amount","Fund No.",$C$4,"Budget Plan No.",PYPLAN_FILTER,"G/L Account No.",$E316,"Department Code",Dept_Filter,"Transaction Type","Budget")*-1</t>
  </si>
  <si>
    <t>=NL("Sum","Version LIne Worksheet","Amount","Fund No.",$C$4,"Plan No.",Plan_Filter,"G/L Account No.",$E316,"Department Code",Dept_Filter)*-1</t>
  </si>
  <si>
    <t>=K316-I316</t>
  </si>
  <si>
    <t>=IF(I316=0,0,1)</t>
  </si>
  <si>
    <t>=IF(K316=0,0,1)</t>
  </si>
  <si>
    <t>=P316+Q316</t>
  </si>
  <si>
    <t>=IF(R317=0,"HIDE","SHOW")</t>
  </si>
  <si>
    <t>="""Mission ERP"",""GBRA"",""15"",""1"",""45247"""</t>
  </si>
  <si>
    <t>=NF(D317,"No.")</t>
  </si>
  <si>
    <t>=NF(D317,"Name")</t>
  </si>
  <si>
    <t>=NL("Sum","G/L Entry","Amount","Fund No.",$C$4,"Budget Plan No.",PYPLAN_FILTER,"G/L Account No.",$E317,"Department Code",Dept_Filter,"Transaction Type","Budget")*-1</t>
  </si>
  <si>
    <t>=NL("Sum","Version LIne Worksheet","Amount","Fund No.",$C$4,"Plan No.",Plan_Filter,"G/L Account No.",$E317,"Department Code",Dept_Filter)*-1</t>
  </si>
  <si>
    <t>=K317-I317</t>
  </si>
  <si>
    <t>=IF(I317=0,0,1)</t>
  </si>
  <si>
    <t>=IF(K317=0,0,1)</t>
  </si>
  <si>
    <t>=P317+Q317</t>
  </si>
  <si>
    <t>=IF(R319=0,"HIDE","SHOW")</t>
  </si>
  <si>
    <t>=CONCATENATE("Total ",F309)</t>
  </si>
  <si>
    <t>=SUM(I310:I318)</t>
  </si>
  <si>
    <t>=SUM(K310:K318)</t>
  </si>
  <si>
    <t>=K319-I319</t>
  </si>
  <si>
    <t>=IF(I319=0,0,1)</t>
  </si>
  <si>
    <t>=IF(K319=0,0,1)</t>
  </si>
  <si>
    <t>=P319+Q319</t>
  </si>
  <si>
    <t>=B328</t>
  </si>
  <si>
    <t>=NL("First","G/L Account","Name","No.",C321)</t>
  </si>
  <si>
    <t>=IF(R322=0,"HIDE","SHOW")</t>
  </si>
  <si>
    <t>=NL("Rows","G/L Account",,"No.",C322)</t>
  </si>
  <si>
    <t>=NF(D322,"No.")</t>
  </si>
  <si>
    <t>=NF(D322,"Name")</t>
  </si>
  <si>
    <t>=NL("Sum","G/L Entry","Amount","Fund No.",$C$4,"Budget Plan No.",PYPLAN_FILTER,"G/L Account No.",$E322,"Department Code",Dept_Filter,"Transaction Type","Budget")*-1</t>
  </si>
  <si>
    <t>=NL("Sum","Version LIne Worksheet","Amount","Fund No.",$C$4,"Plan No.",Plan_Filter,"G/L Account No.",$E322,"Department Code",Dept_Filter)*-1</t>
  </si>
  <si>
    <t>=K322-I322</t>
  </si>
  <si>
    <t>=IF(I322=0,0,1)</t>
  </si>
  <si>
    <t>=IF(K322=0,0,1)</t>
  </si>
  <si>
    <t>=P322+Q322</t>
  </si>
  <si>
    <t>=IF(R323=0,"HIDE","SHOW")</t>
  </si>
  <si>
    <t>="""Mission ERP"",""GBRA"",""15"",""1"",""45302"""</t>
  </si>
  <si>
    <t>=NF(D323,"No.")</t>
  </si>
  <si>
    <t>=NF(D323,"Name")</t>
  </si>
  <si>
    <t>=NL("Sum","G/L Entry","Amount","Fund No.",$C$4,"Budget Plan No.",PYPLAN_FILTER,"G/L Account No.",$E323,"Department Code",Dept_Filter,"Transaction Type","Budget")*-1</t>
  </si>
  <si>
    <t>=NL("Sum","Version LIne Worksheet","Amount","Fund No.",$C$4,"Plan No.",Plan_Filter,"G/L Account No.",$E323,"Department Code",Dept_Filter)*-1</t>
  </si>
  <si>
    <t>=K323-I323</t>
  </si>
  <si>
    <t>=IF(I323=0,0,1)</t>
  </si>
  <si>
    <t>=IF(K323=0,0,1)</t>
  </si>
  <si>
    <t>=P323+Q323</t>
  </si>
  <si>
    <t>=IF(R324=0,"HIDE","SHOW")</t>
  </si>
  <si>
    <t>="""Mission ERP"",""GBRA"",""15"",""1"",""45303"""</t>
  </si>
  <si>
    <t>=NF(D324,"No.")</t>
  </si>
  <si>
    <t>=NF(D324,"Name")</t>
  </si>
  <si>
    <t>=NL("Sum","G/L Entry","Amount","Fund No.",$C$4,"Budget Plan No.",PYPLAN_FILTER,"G/L Account No.",$E324,"Department Code",Dept_Filter,"Transaction Type","Budget")*-1</t>
  </si>
  <si>
    <t>=NL("Sum","Version LIne Worksheet","Amount","Fund No.",$C$4,"Plan No.",Plan_Filter,"G/L Account No.",$E324,"Department Code",Dept_Filter)*-1</t>
  </si>
  <si>
    <t>=K324-I324</t>
  </si>
  <si>
    <t>=IF(I324=0,0,1)</t>
  </si>
  <si>
    <t>=IF(K324=0,0,1)</t>
  </si>
  <si>
    <t>=P324+Q324</t>
  </si>
  <si>
    <t>=IF(R325=0,"HIDE","SHOW")</t>
  </si>
  <si>
    <t>="""Mission ERP"",""GBRA"",""15"",""1"",""45304"""</t>
  </si>
  <si>
    <t>=NF(D325,"No.")</t>
  </si>
  <si>
    <t>=NF(D325,"Name")</t>
  </si>
  <si>
    <t>=NL("Sum","G/L Entry","Amount","Fund No.",$C$4,"Budget Plan No.",PYPLAN_FILTER,"G/L Account No.",$E325,"Department Code",Dept_Filter,"Transaction Type","Budget")*-1</t>
  </si>
  <si>
    <t>=NL("Sum","Version LIne Worksheet","Amount","Fund No.",$C$4,"Plan No.",Plan_Filter,"G/L Account No.",$E325,"Department Code",Dept_Filter)*-1</t>
  </si>
  <si>
    <t>=K325-I325</t>
  </si>
  <si>
    <t>=IF(I325=0,0,1)</t>
  </si>
  <si>
    <t>=IF(K325=0,0,1)</t>
  </si>
  <si>
    <t>=P325+Q325</t>
  </si>
  <si>
    <t>=IF(R326=0,"HIDE","SHOW")</t>
  </si>
  <si>
    <t>="""Mission ERP"",""GBRA"",""15"",""1"",""45320"""</t>
  </si>
  <si>
    <t>=NF(D326,"No.")</t>
  </si>
  <si>
    <t>=NF(D326,"Name")</t>
  </si>
  <si>
    <t>=NL("Sum","G/L Entry","Amount","Fund No.",$C$4,"Budget Plan No.",PYPLAN_FILTER,"G/L Account No.",$E326,"Department Code",Dept_Filter,"Transaction Type","Budget")*-1</t>
  </si>
  <si>
    <t>=NL("Sum","Version LIne Worksheet","Amount","Fund No.",$C$4,"Plan No.",Plan_Filter,"G/L Account No.",$E326,"Department Code",Dept_Filter)*-1</t>
  </si>
  <si>
    <t>=K326-I326</t>
  </si>
  <si>
    <t>=IF(I326=0,0,1)</t>
  </si>
  <si>
    <t>=IF(K326=0,0,1)</t>
  </si>
  <si>
    <t>=P326+Q326</t>
  </si>
  <si>
    <t>=IF(R328=0,"HIDE","SHOW")</t>
  </si>
  <si>
    <t>=CONCATENATE("Total ",F321)</t>
  </si>
  <si>
    <t>=SUM(I322:I327)</t>
  </si>
  <si>
    <t>=SUM(K322:K327)</t>
  </si>
  <si>
    <t>=K328-I328</t>
  </si>
  <si>
    <t>=IF(I328=0,0,1)</t>
  </si>
  <si>
    <t>=IF(K328=0,0,1)</t>
  </si>
  <si>
    <t>=P328+Q328</t>
  </si>
  <si>
    <t>=B333</t>
  </si>
  <si>
    <t>=NL("First","G/L Account","Name","No.",C330)</t>
  </si>
  <si>
    <t>=IF(R331=0,"HIDE","SHOW")</t>
  </si>
  <si>
    <t>=NL("Rows","G/L Account",,"No.",C331)</t>
  </si>
  <si>
    <t>=NF(D331,"No.")</t>
  </si>
  <si>
    <t>=NF(D331,"Name")</t>
  </si>
  <si>
    <t>=NL("Sum","G/L Entry","Amount","Fund No.",$C$4,"Budget Plan No.",PYPLAN_FILTER,"G/L Account No.",$E331,"Department Code",Dept_Filter,"Transaction Type","Budget")*-1</t>
  </si>
  <si>
    <t>=NL("Sum","Version LIne Worksheet","Amount","Fund No.",$C$4,"Plan No.",Plan_Filter,"G/L Account No.",$E331,"Department Code",Dept_Filter)*-1</t>
  </si>
  <si>
    <t>=K331-I331</t>
  </si>
  <si>
    <t>=IF(I331=0,0,1)</t>
  </si>
  <si>
    <t>=IF(K331=0,0,1)</t>
  </si>
  <si>
    <t>=P331+Q331</t>
  </si>
  <si>
    <t>=IF(R333=0,"HIDE","SHOW")</t>
  </si>
  <si>
    <t>=CONCATENATE("Total ",F330)</t>
  </si>
  <si>
    <t>=SUM(I331:I332)</t>
  </si>
  <si>
    <t>=SUM(K331:K332)</t>
  </si>
  <si>
    <t>=K333-I333</t>
  </si>
  <si>
    <t>=IF(I333=0,0,1)</t>
  </si>
  <si>
    <t>=IF(K333=0,0,1)</t>
  </si>
  <si>
    <t>=P333+Q333</t>
  </si>
  <si>
    <t>=IF(R335=0,"HIDE","SHOW")</t>
  </si>
  <si>
    <t>=I333+I328+I319+I307+I298+I246+I233+I226+I215+I210+I200+I170+I158+I148+I136+I65+I59+I48+I37</t>
  </si>
  <si>
    <t>=K333+K328+K319+K307+K298+K246+K233+K226+K215+K210+K200+K170+K158+K148+K136+K65+K59+K48+K37</t>
  </si>
  <si>
    <t>=K335-I335</t>
  </si>
  <si>
    <t>=P335+Q335</t>
  </si>
  <si>
    <t>=B345</t>
  </si>
  <si>
    <t>=NL("First","G/L Account","Name","No.",C340)</t>
  </si>
  <si>
    <t>=IF(R341=0,"HIDE","SHOW")</t>
  </si>
  <si>
    <t>=NL("Rows","G/L Account",,"No.",C341)</t>
  </si>
  <si>
    <t>=NF(D341,"No.")</t>
  </si>
  <si>
    <t>=NF(D341,"Name")</t>
  </si>
  <si>
    <t>=NL("Sum","G/L Entry","Amount","Fund No.",$C$4,"Budget Plan No.",PYPLAN_FILTER,"G/L Account No.",$E341,"Department Code",Dept_Filter,"Transaction Type","Budget")</t>
  </si>
  <si>
    <t>=NL("Sum","Version LIne Worksheet","Amount","Fund No.",$C$4,"Plan No.",Plan_Filter,"G/L Account No.",$E341,"Department Code",Dept_Filter)</t>
  </si>
  <si>
    <t>=K341-I341</t>
  </si>
  <si>
    <t>=IF(I341=0,0,1)</t>
  </si>
  <si>
    <t>=IF(K341=0,0,1)</t>
  </si>
  <si>
    <t>=P341+Q341</t>
  </si>
  <si>
    <t>=IF(R342=0,"HIDE","SHOW")</t>
  </si>
  <si>
    <t>="""Mission ERP"",""GBRA"",""15"",""1"",""51102"""</t>
  </si>
  <si>
    <t>=NF(D342,"No.")</t>
  </si>
  <si>
    <t>=NF(D342,"Name")</t>
  </si>
  <si>
    <t>=NL("Sum","G/L Entry","Amount","Fund No.",$C$4,"Budget Plan No.",PYPLAN_FILTER,"G/L Account No.",$E342,"Department Code",Dept_Filter,"Transaction Type","Budget")</t>
  </si>
  <si>
    <t>=NL("Sum","Version LIne Worksheet","Amount","Fund No.",$C$4,"Plan No.",Plan_Filter,"G/L Account No.",$E342,"Department Code",Dept_Filter)</t>
  </si>
  <si>
    <t>=K342-I342</t>
  </si>
  <si>
    <t>=IF(I342=0,0,1)</t>
  </si>
  <si>
    <t>=IF(K342=0,0,1)</t>
  </si>
  <si>
    <t>=P342+Q342</t>
  </si>
  <si>
    <t>=IF(R343=0,"HIDE","SHOW")</t>
  </si>
  <si>
    <t>="""Mission ERP"",""GBRA"",""15"",""1"",""51103"""</t>
  </si>
  <si>
    <t>=NF(D343,"No.")</t>
  </si>
  <si>
    <t>=NF(D343,"Name")</t>
  </si>
  <si>
    <t>=NL("Sum","G/L Entry","Amount","Fund No.",$C$4,"Budget Plan No.",PYPLAN_FILTER,"G/L Account No.",$E343,"Department Code",Dept_Filter,"Transaction Type","Budget")</t>
  </si>
  <si>
    <t>=NL("Sum","Version LIne Worksheet","Amount","Fund No.",$C$4,"Plan No.",Plan_Filter,"G/L Account No.",$E343,"Department Code",Dept_Filter)</t>
  </si>
  <si>
    <t>=K343-I343</t>
  </si>
  <si>
    <t>=IF(I343=0,0,1)</t>
  </si>
  <si>
    <t>=IF(K343=0,0,1)</t>
  </si>
  <si>
    <t>=P343+Q343</t>
  </si>
  <si>
    <t>=IF(R345=0,"HIDE","SHOW")</t>
  </si>
  <si>
    <t>=CONCATENATE("Total ",F340)</t>
  </si>
  <si>
    <t>=SUM(I341:I344)</t>
  </si>
  <si>
    <t>=SUM(K341:K344)</t>
  </si>
  <si>
    <t>=K345-I345</t>
  </si>
  <si>
    <t>=IF(I345=0,0,1)</t>
  </si>
  <si>
    <t>=IF(K345=0,0,1)</t>
  </si>
  <si>
    <t>=P345+Q345</t>
  </si>
  <si>
    <t>=B357</t>
  </si>
  <si>
    <t>=NL("First","G/L Account","Name","No.",C347)</t>
  </si>
  <si>
    <t>=IF(R348=0,"HIDE","SHOW")</t>
  </si>
  <si>
    <t>=NL("Rows","G/L Account",,"No.",C348)</t>
  </si>
  <si>
    <t>=NF(D348,"No.")</t>
  </si>
  <si>
    <t>=NF(D348,"Name")</t>
  </si>
  <si>
    <t>=NL("Sum","G/L Entry","Amount","Fund No.",$C$4,"Budget Plan No.",PYPLAN_FILTER,"G/L Account No.",$E348,"Department Code",Dept_Filter,"Transaction Type","Budget")</t>
  </si>
  <si>
    <t>=NL("Sum","Version LIne Worksheet","Amount","Fund No.",$C$4,"Plan No.",Plan_Filter,"G/L Account No.",$E348,"Department Code",Dept_Filter)</t>
  </si>
  <si>
    <t>=K348-I348</t>
  </si>
  <si>
    <t>=IF(I348=0,0,1)</t>
  </si>
  <si>
    <t>=IF(K348=0,0,1)</t>
  </si>
  <si>
    <t>=P348+Q348</t>
  </si>
  <si>
    <t>=IF(R349=0,"HIDE","SHOW")</t>
  </si>
  <si>
    <t>="""Mission ERP"",""GBRA"",""15"",""1"",""51202"""</t>
  </si>
  <si>
    <t>=NF(D349,"No.")</t>
  </si>
  <si>
    <t>=NF(D349,"Name")</t>
  </si>
  <si>
    <t>=NL("Sum","G/L Entry","Amount","Fund No.",$C$4,"Budget Plan No.",PYPLAN_FILTER,"G/L Account No.",$E349,"Department Code",Dept_Filter,"Transaction Type","Budget")</t>
  </si>
  <si>
    <t>=NL("Sum","Version LIne Worksheet","Amount","Fund No.",$C$4,"Plan No.",Plan_Filter,"G/L Account No.",$E349,"Department Code",Dept_Filter)</t>
  </si>
  <si>
    <t>=K349-I349</t>
  </si>
  <si>
    <t>=IF(I349=0,0,1)</t>
  </si>
  <si>
    <t>=IF(K349=0,0,1)</t>
  </si>
  <si>
    <t>=P349+Q349</t>
  </si>
  <si>
    <t>=IF(R350=0,"HIDE","SHOW")</t>
  </si>
  <si>
    <t>="""Mission ERP"",""GBRA"",""15"",""1"",""51203"""</t>
  </si>
  <si>
    <t>=NF(D350,"No.")</t>
  </si>
  <si>
    <t>=NF(D350,"Name")</t>
  </si>
  <si>
    <t>=NL("Sum","G/L Entry","Amount","Fund No.",$C$4,"Budget Plan No.",PYPLAN_FILTER,"G/L Account No.",$E350,"Department Code",Dept_Filter,"Transaction Type","Budget")</t>
  </si>
  <si>
    <t>=NL("Sum","Version LIne Worksheet","Amount","Fund No.",$C$4,"Plan No.",Plan_Filter,"G/L Account No.",$E350,"Department Code",Dept_Filter)</t>
  </si>
  <si>
    <t>=K350-I350</t>
  </si>
  <si>
    <t>=IF(I350=0,0,1)</t>
  </si>
  <si>
    <t>=IF(K350=0,0,1)</t>
  </si>
  <si>
    <t>=P350+Q350</t>
  </si>
  <si>
    <t>=IF(R351=0,"HIDE","SHOW")</t>
  </si>
  <si>
    <t>="""Mission ERP"",""GBRA"",""15"",""1"",""51204"""</t>
  </si>
  <si>
    <t>=NF(D351,"No.")</t>
  </si>
  <si>
    <t>=NF(D351,"Name")</t>
  </si>
  <si>
    <t>=NL("Sum","G/L Entry","Amount","Fund No.",$C$4,"Budget Plan No.",PYPLAN_FILTER,"G/L Account No.",$E351,"Department Code",Dept_Filter,"Transaction Type","Budget")</t>
  </si>
  <si>
    <t>=NL("Sum","Version LIne Worksheet","Amount","Fund No.",$C$4,"Plan No.",Plan_Filter,"G/L Account No.",$E351,"Department Code",Dept_Filter)</t>
  </si>
  <si>
    <t>=K351-I351</t>
  </si>
  <si>
    <t>=IF(I351=0,0,1)</t>
  </si>
  <si>
    <t>=IF(K351=0,0,1)</t>
  </si>
  <si>
    <t>=P351+Q351</t>
  </si>
  <si>
    <t>=IF(R352=0,"HIDE","SHOW")</t>
  </si>
  <si>
    <t>="""Mission ERP"",""GBRA"",""15"",""1"",""51205"""</t>
  </si>
  <si>
    <t>=NF(D352,"No.")</t>
  </si>
  <si>
    <t>=NF(D352,"Name")</t>
  </si>
  <si>
    <t>=NL("Sum","G/L Entry","Amount","Fund No.",$C$4,"Budget Plan No.",PYPLAN_FILTER,"G/L Account No.",$E352,"Department Code",Dept_Filter,"Transaction Type","Budget")</t>
  </si>
  <si>
    <t>=NL("Sum","Version LIne Worksheet","Amount","Fund No.",$C$4,"Plan No.",Plan_Filter,"G/L Account No.",$E352,"Department Code",Dept_Filter)</t>
  </si>
  <si>
    <t>=K352-I352</t>
  </si>
  <si>
    <t>=IF(I352=0,0,1)</t>
  </si>
  <si>
    <t>=IF(K352=0,0,1)</t>
  </si>
  <si>
    <t>=P352+Q352</t>
  </si>
  <si>
    <t>=IF(R353=0,"HIDE","SHOW")</t>
  </si>
  <si>
    <t>="""Mission ERP"",""GBRA"",""15"",""1"",""51206"""</t>
  </si>
  <si>
    <t>=NF(D353,"No.")</t>
  </si>
  <si>
    <t>=NF(D353,"Name")</t>
  </si>
  <si>
    <t>=NL("Sum","G/L Entry","Amount","Fund No.",$C$4,"Budget Plan No.",PYPLAN_FILTER,"G/L Account No.",$E353,"Department Code",Dept_Filter,"Transaction Type","Budget")</t>
  </si>
  <si>
    <t>=NL("Sum","Version LIne Worksheet","Amount","Fund No.",$C$4,"Plan No.",Plan_Filter,"G/L Account No.",$E353,"Department Code",Dept_Filter)</t>
  </si>
  <si>
    <t>=K353-I353</t>
  </si>
  <si>
    <t>=IF(I353=0,0,1)</t>
  </si>
  <si>
    <t>=IF(K353=0,0,1)</t>
  </si>
  <si>
    <t>=P353+Q353</t>
  </si>
  <si>
    <t>=IF(R354=0,"HIDE","SHOW")</t>
  </si>
  <si>
    <t>="""Mission ERP"",""GBRA"",""15"",""1"",""51220"""</t>
  </si>
  <si>
    <t>=NF(D354,"No.")</t>
  </si>
  <si>
    <t>=NF(D354,"Name")</t>
  </si>
  <si>
    <t>=NL("Sum","G/L Entry","Amount","Fund No.",$C$4,"Budget Plan No.",PYPLAN_FILTER,"G/L Account No.",$E354,"Department Code",Dept_Filter,"Transaction Type","Budget")</t>
  </si>
  <si>
    <t>=NL("Sum","Version LIne Worksheet","Amount","Fund No.",$C$4,"Plan No.",Plan_Filter,"G/L Account No.",$E354,"Department Code",Dept_Filter)</t>
  </si>
  <si>
    <t>=K354-I354</t>
  </si>
  <si>
    <t>=IF(I354=0,0,1)</t>
  </si>
  <si>
    <t>=IF(K354=0,0,1)</t>
  </si>
  <si>
    <t>=P354+Q354</t>
  </si>
  <si>
    <t>=IF(R355=0,"HIDE","SHOW")</t>
  </si>
  <si>
    <t>="""Mission ERP"",""GBRA"",""15"",""1"",""51298"""</t>
  </si>
  <si>
    <t>=NF(D355,"No.")</t>
  </si>
  <si>
    <t>=NF(D355,"Name")</t>
  </si>
  <si>
    <t>=NL("Sum","G/L Entry","Amount","Fund No.",$C$4,"Budget Plan No.",PYPLAN_FILTER,"G/L Account No.",$E355,"Department Code",Dept_Filter,"Transaction Type","Budget")</t>
  </si>
  <si>
    <t>=NL("Sum","Version LIne Worksheet","Amount","Fund No.",$C$4,"Plan No.",Plan_Filter,"G/L Account No.",$E355,"Department Code",Dept_Filter)</t>
  </si>
  <si>
    <t>=K355-I355</t>
  </si>
  <si>
    <t>=IF(I355=0,0,1)</t>
  </si>
  <si>
    <t>=IF(K355=0,0,1)</t>
  </si>
  <si>
    <t>=P355+Q355</t>
  </si>
  <si>
    <t>=IF(R357=0,"HIDE","SHOW")</t>
  </si>
  <si>
    <t>=CONCATENATE("Total ",F347)</t>
  </si>
  <si>
    <t>=SUM(I348:I356)</t>
  </si>
  <si>
    <t>=SUM(K348:K356)</t>
  </si>
  <si>
    <t>=K357-I357</t>
  </si>
  <si>
    <t>=IF(I357=0,0,1)</t>
  </si>
  <si>
    <t>=IF(K357=0,0,1)</t>
  </si>
  <si>
    <t>=P357+Q357</t>
  </si>
  <si>
    <t>=B389</t>
  </si>
  <si>
    <t>=NL("First","G/L Account","Name","No.",C359)</t>
  </si>
  <si>
    <t>=IF(R360=0,"HIDE","SHOW")</t>
  </si>
  <si>
    <t>=NL("Rows","G/L Account",,"No.",C360)</t>
  </si>
  <si>
    <t>=NF(D360,"No.")</t>
  </si>
  <si>
    <t>=NF(D360,"Name")</t>
  </si>
  <si>
    <t>=NL("Sum","G/L Entry","Amount","Fund No.",$C$4,"Budget Plan No.",PYPLAN_FILTER,"G/L Account No.",$E360,"Department Code",Dept_Filter,"Transaction Type","Budget")</t>
  </si>
  <si>
    <t>=NL("Sum","Version LIne Worksheet","Amount","Fund No.",$C$4,"Plan No.",Plan_Filter,"G/L Account No.",$E360,"Department Code",Dept_Filter)</t>
  </si>
  <si>
    <t>=K360-I360</t>
  </si>
  <si>
    <t>=IF(I360=0,0,1)</t>
  </si>
  <si>
    <t>=IF(K360=0,0,1)</t>
  </si>
  <si>
    <t>=P360+Q360</t>
  </si>
  <si>
    <t>=IF(R361=0,"HIDE","SHOW")</t>
  </si>
  <si>
    <t>="""Mission ERP"",""GBRA"",""15"",""1"",""52102"""</t>
  </si>
  <si>
    <t>=NF(D361,"No.")</t>
  </si>
  <si>
    <t>=NF(D361,"Name")</t>
  </si>
  <si>
    <t>=NL("Sum","G/L Entry","Amount","Fund No.",$C$4,"Budget Plan No.",PYPLAN_FILTER,"G/L Account No.",$E361,"Department Code",Dept_Filter,"Transaction Type","Budget")</t>
  </si>
  <si>
    <t>=NL("Sum","Version LIne Worksheet","Amount","Fund No.",$C$4,"Plan No.",Plan_Filter,"G/L Account No.",$E361,"Department Code",Dept_Filter)</t>
  </si>
  <si>
    <t>=K361-I361</t>
  </si>
  <si>
    <t>=IF(I361=0,0,1)</t>
  </si>
  <si>
    <t>=IF(K361=0,0,1)</t>
  </si>
  <si>
    <t>=P361+Q361</t>
  </si>
  <si>
    <t>=IF(R362=0,"HIDE","SHOW")</t>
  </si>
  <si>
    <t>="""Mission ERP"",""GBRA"",""15"",""1"",""52103"""</t>
  </si>
  <si>
    <t>=NF(D362,"No.")</t>
  </si>
  <si>
    <t>=NF(D362,"Name")</t>
  </si>
  <si>
    <t>=NL("Sum","G/L Entry","Amount","Fund No.",$C$4,"Budget Plan No.",PYPLAN_FILTER,"G/L Account No.",$E362,"Department Code",Dept_Filter,"Transaction Type","Budget")</t>
  </si>
  <si>
    <t>=NL("Sum","Version LIne Worksheet","Amount","Fund No.",$C$4,"Plan No.",Plan_Filter,"G/L Account No.",$E362,"Department Code",Dept_Filter)</t>
  </si>
  <si>
    <t>=K362-I362</t>
  </si>
  <si>
    <t>=IF(I362=0,0,1)</t>
  </si>
  <si>
    <t>=IF(K362=0,0,1)</t>
  </si>
  <si>
    <t>=P362+Q362</t>
  </si>
  <si>
    <t>=IF(R363=0,"HIDE","SHOW")</t>
  </si>
  <si>
    <t>="""Mission ERP"",""GBRA"",""15"",""1"",""52110"""</t>
  </si>
  <si>
    <t>=NF(D363,"No.")</t>
  </si>
  <si>
    <t>=NF(D363,"Name")</t>
  </si>
  <si>
    <t>=NL("Sum","G/L Entry","Amount","Fund No.",$C$4,"Budget Plan No.",PYPLAN_FILTER,"G/L Account No.",$E363,"Department Code",Dept_Filter,"Transaction Type","Budget")</t>
  </si>
  <si>
    <t>=NL("Sum","Version LIne Worksheet","Amount","Fund No.",$C$4,"Plan No.",Plan_Filter,"G/L Account No.",$E363,"Department Code",Dept_Filter)</t>
  </si>
  <si>
    <t>=K363-I363</t>
  </si>
  <si>
    <t>=IF(I363=0,0,1)</t>
  </si>
  <si>
    <t>=IF(K363=0,0,1)</t>
  </si>
  <si>
    <t>=P363+Q363</t>
  </si>
  <si>
    <t>=IF(R364=0,"HIDE","SHOW")</t>
  </si>
  <si>
    <t>="""Mission ERP"",""GBRA"",""15"",""1"",""52111"""</t>
  </si>
  <si>
    <t>=NF(D364,"No.")</t>
  </si>
  <si>
    <t>=NF(D364,"Name")</t>
  </si>
  <si>
    <t>=NL("Sum","G/L Entry","Amount","Fund No.",$C$4,"Budget Plan No.",PYPLAN_FILTER,"G/L Account No.",$E364,"Department Code",Dept_Filter,"Transaction Type","Budget")</t>
  </si>
  <si>
    <t>=NL("Sum","Version LIne Worksheet","Amount","Fund No.",$C$4,"Plan No.",Plan_Filter,"G/L Account No.",$E364,"Department Code",Dept_Filter)</t>
  </si>
  <si>
    <t>=K364-I364</t>
  </si>
  <si>
    <t>=IF(I364=0,0,1)</t>
  </si>
  <si>
    <t>=IF(K364=0,0,1)</t>
  </si>
  <si>
    <t>=P364+Q364</t>
  </si>
  <si>
    <t>=IF(R365=0,"HIDE","SHOW")</t>
  </si>
  <si>
    <t>="""Mission ERP"",""GBRA"",""15"",""1"",""52113"""</t>
  </si>
  <si>
    <t>=NF(D365,"No.")</t>
  </si>
  <si>
    <t>=NF(D365,"Name")</t>
  </si>
  <si>
    <t>=NL("Sum","G/L Entry","Amount","Fund No.",$C$4,"Budget Plan No.",PYPLAN_FILTER,"G/L Account No.",$E365,"Department Code",Dept_Filter,"Transaction Type","Budget")</t>
  </si>
  <si>
    <t>=NL("Sum","Version LIne Worksheet","Amount","Fund No.",$C$4,"Plan No.",Plan_Filter,"G/L Account No.",$E365,"Department Code",Dept_Filter)</t>
  </si>
  <si>
    <t>=K365-I365</t>
  </si>
  <si>
    <t>=IF(I365=0,0,1)</t>
  </si>
  <si>
    <t>=IF(K365=0,0,1)</t>
  </si>
  <si>
    <t>=P365+Q365</t>
  </si>
  <si>
    <t>=IF(R366=0,"HIDE","SHOW")</t>
  </si>
  <si>
    <t>="""Mission ERP"",""GBRA"",""15"",""1"",""52114"""</t>
  </si>
  <si>
    <t>=NF(D366,"No.")</t>
  </si>
  <si>
    <t>=NF(D366,"Name")</t>
  </si>
  <si>
    <t>=NL("Sum","G/L Entry","Amount","Fund No.",$C$4,"Budget Plan No.",PYPLAN_FILTER,"G/L Account No.",$E366,"Department Code",Dept_Filter,"Transaction Type","Budget")</t>
  </si>
  <si>
    <t>=NL("Sum","Version LIne Worksheet","Amount","Fund No.",$C$4,"Plan No.",Plan_Filter,"G/L Account No.",$E366,"Department Code",Dept_Filter)</t>
  </si>
  <si>
    <t>=K366-I366</t>
  </si>
  <si>
    <t>=IF(I366=0,0,1)</t>
  </si>
  <si>
    <t>=IF(K366=0,0,1)</t>
  </si>
  <si>
    <t>=P366+Q366</t>
  </si>
  <si>
    <t>=IF(R367=0,"HIDE","SHOW")</t>
  </si>
  <si>
    <t>="""Mission ERP"",""GBRA"",""15"",""1"",""52115"""</t>
  </si>
  <si>
    <t>=NF(D367,"No.")</t>
  </si>
  <si>
    <t>=NF(D367,"Name")</t>
  </si>
  <si>
    <t>=NL("Sum","G/L Entry","Amount","Fund No.",$C$4,"Budget Plan No.",PYPLAN_FILTER,"G/L Account No.",$E367,"Department Code",Dept_Filter,"Transaction Type","Budget")</t>
  </si>
  <si>
    <t>=NL("Sum","Version LIne Worksheet","Amount","Fund No.",$C$4,"Plan No.",Plan_Filter,"G/L Account No.",$E367,"Department Code",Dept_Filter)</t>
  </si>
  <si>
    <t>=K367-I367</t>
  </si>
  <si>
    <t>=IF(I367=0,0,1)</t>
  </si>
  <si>
    <t>=IF(K367=0,0,1)</t>
  </si>
  <si>
    <t>=P367+Q367</t>
  </si>
  <si>
    <t>=IF(R368=0,"HIDE","SHOW")</t>
  </si>
  <si>
    <t>="""Mission ERP"",""GBRA"",""15"",""1"",""52118"""</t>
  </si>
  <si>
    <t>=NF(D368,"No.")</t>
  </si>
  <si>
    <t>=NF(D368,"Name")</t>
  </si>
  <si>
    <t>=NL("Sum","G/L Entry","Amount","Fund No.",$C$4,"Budget Plan No.",PYPLAN_FILTER,"G/L Account No.",$E368,"Department Code",Dept_Filter,"Transaction Type","Budget")</t>
  </si>
  <si>
    <t>=NL("Sum","Version LIne Worksheet","Amount","Fund No.",$C$4,"Plan No.",Plan_Filter,"G/L Account No.",$E368,"Department Code",Dept_Filter)</t>
  </si>
  <si>
    <t>=K368-I368</t>
  </si>
  <si>
    <t>=IF(I368=0,0,1)</t>
  </si>
  <si>
    <t>=IF(K368=0,0,1)</t>
  </si>
  <si>
    <t>=P368+Q368</t>
  </si>
  <si>
    <t>=IF(R369=0,"HIDE","SHOW")</t>
  </si>
  <si>
    <t>="""Mission ERP"",""GBRA"",""15"",""1"",""52120"""</t>
  </si>
  <si>
    <t>=NF(D369,"No.")</t>
  </si>
  <si>
    <t>=NF(D369,"Name")</t>
  </si>
  <si>
    <t>=NL("Sum","G/L Entry","Amount","Fund No.",$C$4,"Budget Plan No.",PYPLAN_FILTER,"G/L Account No.",$E369,"Department Code",Dept_Filter,"Transaction Type","Budget")</t>
  </si>
  <si>
    <t>=NL("Sum","Version LIne Worksheet","Amount","Fund No.",$C$4,"Plan No.",Plan_Filter,"G/L Account No.",$E369,"Department Code",Dept_Filter)</t>
  </si>
  <si>
    <t>=K369-I369</t>
  </si>
  <si>
    <t>=IF(I369=0,0,1)</t>
  </si>
  <si>
    <t>=IF(K369=0,0,1)</t>
  </si>
  <si>
    <t>=P369+Q369</t>
  </si>
  <si>
    <t>=IF(R370=0,"HIDE","SHOW")</t>
  </si>
  <si>
    <t>="""Mission ERP"",""GBRA"",""15"",""1"",""52121"""</t>
  </si>
  <si>
    <t>=NF(D370,"No.")</t>
  </si>
  <si>
    <t>=NF(D370,"Name")</t>
  </si>
  <si>
    <t>=NL("Sum","G/L Entry","Amount","Fund No.",$C$4,"Budget Plan No.",PYPLAN_FILTER,"G/L Account No.",$E370,"Department Code",Dept_Filter,"Transaction Type","Budget")</t>
  </si>
  <si>
    <t>=NL("Sum","Version LIne Worksheet","Amount","Fund No.",$C$4,"Plan No.",Plan_Filter,"G/L Account No.",$E370,"Department Code",Dept_Filter)</t>
  </si>
  <si>
    <t>=K370-I370</t>
  </si>
  <si>
    <t>=IF(I370=0,0,1)</t>
  </si>
  <si>
    <t>=IF(K370=0,0,1)</t>
  </si>
  <si>
    <t>=P370+Q370</t>
  </si>
  <si>
    <t>=IF(R371=0,"HIDE","SHOW")</t>
  </si>
  <si>
    <t>="""Mission ERP"",""GBRA"",""15"",""1"",""52122"""</t>
  </si>
  <si>
    <t>=NF(D371,"No.")</t>
  </si>
  <si>
    <t>=NF(D371,"Name")</t>
  </si>
  <si>
    <t>=NL("Sum","G/L Entry","Amount","Fund No.",$C$4,"Budget Plan No.",PYPLAN_FILTER,"G/L Account No.",$E371,"Department Code",Dept_Filter,"Transaction Type","Budget")</t>
  </si>
  <si>
    <t>=NL("Sum","Version LIne Worksheet","Amount","Fund No.",$C$4,"Plan No.",Plan_Filter,"G/L Account No.",$E371,"Department Code",Dept_Filter)</t>
  </si>
  <si>
    <t>=K371-I371</t>
  </si>
  <si>
    <t>=IF(I371=0,0,1)</t>
  </si>
  <si>
    <t>=IF(K371=0,0,1)</t>
  </si>
  <si>
    <t>=P371+Q371</t>
  </si>
  <si>
    <t>=IF(R372=0,"HIDE","SHOW")</t>
  </si>
  <si>
    <t>="""Mission ERP"",""GBRA"",""15"",""1"",""52123"""</t>
  </si>
  <si>
    <t>=NF(D372,"No.")</t>
  </si>
  <si>
    <t>=NF(D372,"Name")</t>
  </si>
  <si>
    <t>=NL("Sum","G/L Entry","Amount","Fund No.",$C$4,"Budget Plan No.",PYPLAN_FILTER,"G/L Account No.",$E372,"Department Code",Dept_Filter,"Transaction Type","Budget")</t>
  </si>
  <si>
    <t>=NL("Sum","Version LIne Worksheet","Amount","Fund No.",$C$4,"Plan No.",Plan_Filter,"G/L Account No.",$E372,"Department Code",Dept_Filter)</t>
  </si>
  <si>
    <t>=K372-I372</t>
  </si>
  <si>
    <t>=IF(I372=0,0,1)</t>
  </si>
  <si>
    <t>=IF(K372=0,0,1)</t>
  </si>
  <si>
    <t>=P372+Q372</t>
  </si>
  <si>
    <t>=IF(R373=0,"HIDE","SHOW")</t>
  </si>
  <si>
    <t>="""Mission ERP"",""GBRA"",""15"",""1"",""52124"""</t>
  </si>
  <si>
    <t>=NF(D373,"No.")</t>
  </si>
  <si>
    <t>=NF(D373,"Name")</t>
  </si>
  <si>
    <t>=NL("Sum","G/L Entry","Amount","Fund No.",$C$4,"Budget Plan No.",PYPLAN_FILTER,"G/L Account No.",$E373,"Department Code",Dept_Filter,"Transaction Type","Budget")</t>
  </si>
  <si>
    <t>=NL("Sum","Version LIne Worksheet","Amount","Fund No.",$C$4,"Plan No.",Plan_Filter,"G/L Account No.",$E373,"Department Code",Dept_Filter)</t>
  </si>
  <si>
    <t>=K373-I373</t>
  </si>
  <si>
    <t>=IF(I373=0,0,1)</t>
  </si>
  <si>
    <t>=IF(K373=0,0,1)</t>
  </si>
  <si>
    <t>=P373+Q373</t>
  </si>
  <si>
    <t>=IF(R374=0,"HIDE","SHOW")</t>
  </si>
  <si>
    <t>="""Mission ERP"",""GBRA"",""15"",""1"",""52125"""</t>
  </si>
  <si>
    <t>=NF(D374,"No.")</t>
  </si>
  <si>
    <t>=NF(D374,"Name")</t>
  </si>
  <si>
    <t>=NL("Sum","G/L Entry","Amount","Fund No.",$C$4,"Budget Plan No.",PYPLAN_FILTER,"G/L Account No.",$E374,"Department Code",Dept_Filter,"Transaction Type","Budget")</t>
  </si>
  <si>
    <t>=NL("Sum","Version LIne Worksheet","Amount","Fund No.",$C$4,"Plan No.",Plan_Filter,"G/L Account No.",$E374,"Department Code",Dept_Filter)</t>
  </si>
  <si>
    <t>=K374-I374</t>
  </si>
  <si>
    <t>=IF(I374=0,0,1)</t>
  </si>
  <si>
    <t>=IF(K374=0,0,1)</t>
  </si>
  <si>
    <t>=P374+Q374</t>
  </si>
  <si>
    <t>=IF(R375=0,"HIDE","SHOW")</t>
  </si>
  <si>
    <t>="""Mission ERP"",""GBRA"",""15"",""1"",""52126"""</t>
  </si>
  <si>
    <t>=NF(D375,"No.")</t>
  </si>
  <si>
    <t>=NF(D375,"Name")</t>
  </si>
  <si>
    <t>=NL("Sum","G/L Entry","Amount","Fund No.",$C$4,"Budget Plan No.",PYPLAN_FILTER,"G/L Account No.",$E375,"Department Code",Dept_Filter,"Transaction Type","Budget")</t>
  </si>
  <si>
    <t>=NL("Sum","Version LIne Worksheet","Amount","Fund No.",$C$4,"Plan No.",Plan_Filter,"G/L Account No.",$E375,"Department Code",Dept_Filter)</t>
  </si>
  <si>
    <t>=K375-I375</t>
  </si>
  <si>
    <t>=IF(I375=0,0,1)</t>
  </si>
  <si>
    <t>=IF(K375=0,0,1)</t>
  </si>
  <si>
    <t>=P375+Q375</t>
  </si>
  <si>
    <t>=IF(R376=0,"HIDE","SHOW")</t>
  </si>
  <si>
    <t>="""Mission ERP"",""GBRA"",""15"",""1"",""52127"""</t>
  </si>
  <si>
    <t>=NF(D376,"No.")</t>
  </si>
  <si>
    <t>=NF(D376,"Name")</t>
  </si>
  <si>
    <t>=NL("Sum","G/L Entry","Amount","Fund No.",$C$4,"Budget Plan No.",PYPLAN_FILTER,"G/L Account No.",$E376,"Department Code",Dept_Filter,"Transaction Type","Budget")</t>
  </si>
  <si>
    <t>=NL("Sum","Version LIne Worksheet","Amount","Fund No.",$C$4,"Plan No.",Plan_Filter,"G/L Account No.",$E376,"Department Code",Dept_Filter)</t>
  </si>
  <si>
    <t>=K376-I376</t>
  </si>
  <si>
    <t>=IF(I376=0,0,1)</t>
  </si>
  <si>
    <t>=IF(K376=0,0,1)</t>
  </si>
  <si>
    <t>=P376+Q376</t>
  </si>
  <si>
    <t>=IF(R377=0,"HIDE","SHOW")</t>
  </si>
  <si>
    <t>="""Mission ERP"",""GBRA"",""15"",""1"",""52128"""</t>
  </si>
  <si>
    <t>=NF(D377,"No.")</t>
  </si>
  <si>
    <t>=NF(D377,"Name")</t>
  </si>
  <si>
    <t>=NL("Sum","G/L Entry","Amount","Fund No.",$C$4,"Budget Plan No.",PYPLAN_FILTER,"G/L Account No.",$E377,"Department Code",Dept_Filter,"Transaction Type","Budget")</t>
  </si>
  <si>
    <t>=NL("Sum","Version LIne Worksheet","Amount","Fund No.",$C$4,"Plan No.",Plan_Filter,"G/L Account No.",$E377,"Department Code",Dept_Filter)</t>
  </si>
  <si>
    <t>=K377-I377</t>
  </si>
  <si>
    <t>=IF(I377=0,0,1)</t>
  </si>
  <si>
    <t>=IF(K377=0,0,1)</t>
  </si>
  <si>
    <t>=P377+Q377</t>
  </si>
  <si>
    <t>=IF(R378=0,"HIDE","SHOW")</t>
  </si>
  <si>
    <t>="""Mission ERP"",""GBRA"",""15"",""1"",""52130"""</t>
  </si>
  <si>
    <t>=NF(D378,"No.")</t>
  </si>
  <si>
    <t>=NF(D378,"Name")</t>
  </si>
  <si>
    <t>=NL("Sum","G/L Entry","Amount","Fund No.",$C$4,"Budget Plan No.",PYPLAN_FILTER,"G/L Account No.",$E378,"Department Code",Dept_Filter,"Transaction Type","Budget")</t>
  </si>
  <si>
    <t>=NL("Sum","Version LIne Worksheet","Amount","Fund No.",$C$4,"Plan No.",Plan_Filter,"G/L Account No.",$E378,"Department Code",Dept_Filter)</t>
  </si>
  <si>
    <t>=K378-I378</t>
  </si>
  <si>
    <t>=IF(I378=0,0,1)</t>
  </si>
  <si>
    <t>=IF(K378=0,0,1)</t>
  </si>
  <si>
    <t>=P378+Q378</t>
  </si>
  <si>
    <t>=IF(R379=0,"HIDE","SHOW")</t>
  </si>
  <si>
    <t>="""Mission ERP"",""GBRA"",""15"",""1"",""52132"""</t>
  </si>
  <si>
    <t>=NF(D379,"No.")</t>
  </si>
  <si>
    <t>=NF(D379,"Name")</t>
  </si>
  <si>
    <t>=NL("Sum","G/L Entry","Amount","Fund No.",$C$4,"Budget Plan No.",PYPLAN_FILTER,"G/L Account No.",$E379,"Department Code",Dept_Filter,"Transaction Type","Budget")</t>
  </si>
  <si>
    <t>=NL("Sum","Version LIne Worksheet","Amount","Fund No.",$C$4,"Plan No.",Plan_Filter,"G/L Account No.",$E379,"Department Code",Dept_Filter)</t>
  </si>
  <si>
    <t>=K379-I379</t>
  </si>
  <si>
    <t>=IF(I379=0,0,1)</t>
  </si>
  <si>
    <t>=IF(K379=0,0,1)</t>
  </si>
  <si>
    <t>=P379+Q379</t>
  </si>
  <si>
    <t>=IF(R380=0,"HIDE","SHOW")</t>
  </si>
  <si>
    <t>="""Mission ERP"",""GBRA"",""15"",""1"",""52133"""</t>
  </si>
  <si>
    <t>=NF(D380,"No.")</t>
  </si>
  <si>
    <t>=NF(D380,"Name")</t>
  </si>
  <si>
    <t>=NL("Sum","G/L Entry","Amount","Fund No.",$C$4,"Budget Plan No.",PYPLAN_FILTER,"G/L Account No.",$E380,"Department Code",Dept_Filter,"Transaction Type","Budget")</t>
  </si>
  <si>
    <t>=NL("Sum","Version LIne Worksheet","Amount","Fund No.",$C$4,"Plan No.",Plan_Filter,"G/L Account No.",$E380,"Department Code",Dept_Filter)</t>
  </si>
  <si>
    <t>=K380-I380</t>
  </si>
  <si>
    <t>=IF(I380=0,0,1)</t>
  </si>
  <si>
    <t>=IF(K380=0,0,1)</t>
  </si>
  <si>
    <t>=P380+Q380</t>
  </si>
  <si>
    <t>=IF(R381=0,"HIDE","SHOW")</t>
  </si>
  <si>
    <t>="""Mission ERP"",""GBRA"",""15"",""1"",""52135"""</t>
  </si>
  <si>
    <t>=NF(D381,"No.")</t>
  </si>
  <si>
    <t>=NF(D381,"Name")</t>
  </si>
  <si>
    <t>=NL("Sum","G/L Entry","Amount","Fund No.",$C$4,"Budget Plan No.",PYPLAN_FILTER,"G/L Account No.",$E381,"Department Code",Dept_Filter,"Transaction Type","Budget")</t>
  </si>
  <si>
    <t>=NL("Sum","Version LIne Worksheet","Amount","Fund No.",$C$4,"Plan No.",Plan_Filter,"G/L Account No.",$E381,"Department Code",Dept_Filter)</t>
  </si>
  <si>
    <t>=K381-I381</t>
  </si>
  <si>
    <t>=IF(I381=0,0,1)</t>
  </si>
  <si>
    <t>=IF(K381=0,0,1)</t>
  </si>
  <si>
    <t>=P381+Q381</t>
  </si>
  <si>
    <t>=IF(R382=0,"HIDE","SHOW")</t>
  </si>
  <si>
    <t>="""Mission ERP"",""GBRA"",""15"",""1"",""52145"""</t>
  </si>
  <si>
    <t>=NF(D382,"No.")</t>
  </si>
  <si>
    <t>=NF(D382,"Name")</t>
  </si>
  <si>
    <t>=NL("Sum","G/L Entry","Amount","Fund No.",$C$4,"Budget Plan No.",PYPLAN_FILTER,"G/L Account No.",$E382,"Department Code",Dept_Filter,"Transaction Type","Budget")</t>
  </si>
  <si>
    <t>=NL("Sum","Version LIne Worksheet","Amount","Fund No.",$C$4,"Plan No.",Plan_Filter,"G/L Account No.",$E382,"Department Code",Dept_Filter)</t>
  </si>
  <si>
    <t>=K382-I382</t>
  </si>
  <si>
    <t>=IF(I382=0,0,1)</t>
  </si>
  <si>
    <t>=IF(K382=0,0,1)</t>
  </si>
  <si>
    <t>=P382+Q382</t>
  </si>
  <si>
    <t>=IF(R383=0,"HIDE","SHOW")</t>
  </si>
  <si>
    <t>="""Mission ERP"",""GBRA"",""15"",""1"",""52150"""</t>
  </si>
  <si>
    <t>=NF(D383,"No.")</t>
  </si>
  <si>
    <t>=NF(D383,"Name")</t>
  </si>
  <si>
    <t>=NL("Sum","G/L Entry","Amount","Fund No.",$C$4,"Budget Plan No.",PYPLAN_FILTER,"G/L Account No.",$E383,"Department Code",Dept_Filter,"Transaction Type","Budget")</t>
  </si>
  <si>
    <t>=NL("Sum","Version LIne Worksheet","Amount","Fund No.",$C$4,"Plan No.",Plan_Filter,"G/L Account No.",$E383,"Department Code",Dept_Filter)</t>
  </si>
  <si>
    <t>=K383-I383</t>
  </si>
  <si>
    <t>=IF(I383=0,0,1)</t>
  </si>
  <si>
    <t>=IF(K383=0,0,1)</t>
  </si>
  <si>
    <t>=P383+Q383</t>
  </si>
  <si>
    <t>=IF(R384=0,"HIDE","SHOW")</t>
  </si>
  <si>
    <t>="""Mission ERP"",""GBRA"",""15"",""1"",""52151"""</t>
  </si>
  <si>
    <t>=NF(D384,"No.")</t>
  </si>
  <si>
    <t>=NF(D384,"Name")</t>
  </si>
  <si>
    <t>=NL("Sum","G/L Entry","Amount","Fund No.",$C$4,"Budget Plan No.",PYPLAN_FILTER,"G/L Account No.",$E384,"Department Code",Dept_Filter,"Transaction Type","Budget")</t>
  </si>
  <si>
    <t>=NL("Sum","Version LIne Worksheet","Amount","Fund No.",$C$4,"Plan No.",Plan_Filter,"G/L Account No.",$E384,"Department Code",Dept_Filter)</t>
  </si>
  <si>
    <t>=K384-I384</t>
  </si>
  <si>
    <t>=IF(I384=0,0,1)</t>
  </si>
  <si>
    <t>=IF(K384=0,0,1)</t>
  </si>
  <si>
    <t>=P384+Q384</t>
  </si>
  <si>
    <t>=IF(R385=0,"HIDE","SHOW")</t>
  </si>
  <si>
    <t>="""Mission ERP"",""GBRA"",""15"",""1"",""52152"""</t>
  </si>
  <si>
    <t>=NF(D385,"No.")</t>
  </si>
  <si>
    <t>=NF(D385,"Name")</t>
  </si>
  <si>
    <t>=NL("Sum","G/L Entry","Amount","Fund No.",$C$4,"Budget Plan No.",PYPLAN_FILTER,"G/L Account No.",$E385,"Department Code",Dept_Filter,"Transaction Type","Budget")</t>
  </si>
  <si>
    <t>=NL("Sum","Version LIne Worksheet","Amount","Fund No.",$C$4,"Plan No.",Plan_Filter,"G/L Account No.",$E385,"Department Code",Dept_Filter)</t>
  </si>
  <si>
    <t>=K385-I385</t>
  </si>
  <si>
    <t>=IF(I385=0,0,1)</t>
  </si>
  <si>
    <t>=IF(K385=0,0,1)</t>
  </si>
  <si>
    <t>=P385+Q385</t>
  </si>
  <si>
    <t>=IF(R386=0,"HIDE","SHOW")</t>
  </si>
  <si>
    <t>="""Mission ERP"",""GBRA"",""15"",""1"",""52155"""</t>
  </si>
  <si>
    <t>=NF(D386,"No.")</t>
  </si>
  <si>
    <t>=NF(D386,"Name")</t>
  </si>
  <si>
    <t>=NL("Sum","G/L Entry","Amount","Fund No.",$C$4,"Budget Plan No.",PYPLAN_FILTER,"G/L Account No.",$E386,"Department Code",Dept_Filter,"Transaction Type","Budget")</t>
  </si>
  <si>
    <t>=NL("Sum","Version LIne Worksheet","Amount","Fund No.",$C$4,"Plan No.",Plan_Filter,"G/L Account No.",$E386,"Department Code",Dept_Filter)</t>
  </si>
  <si>
    <t>=K386-I386</t>
  </si>
  <si>
    <t>=IF(I386=0,0,1)</t>
  </si>
  <si>
    <t>=IF(K386=0,0,1)</t>
  </si>
  <si>
    <t>=P386+Q386</t>
  </si>
  <si>
    <t>=IF(R387=0,"HIDE","SHOW")</t>
  </si>
  <si>
    <t>="""Mission ERP"",""GBRA"",""15"",""1"",""52198"""</t>
  </si>
  <si>
    <t>=NF(D387,"No.")</t>
  </si>
  <si>
    <t>=NF(D387,"Name")</t>
  </si>
  <si>
    <t>=NL("Sum","G/L Entry","Amount","Fund No.",$C$4,"Budget Plan No.",PYPLAN_FILTER,"G/L Account No.",$E387,"Department Code",Dept_Filter,"Transaction Type","Budget")</t>
  </si>
  <si>
    <t>=NL("Sum","Version LIne Worksheet","Amount","Fund No.",$C$4,"Plan No.",Plan_Filter,"G/L Account No.",$E387,"Department Code",Dept_Filter)</t>
  </si>
  <si>
    <t>=K387-I387</t>
  </si>
  <si>
    <t>=IF(I387=0,0,1)</t>
  </si>
  <si>
    <t>=IF(K387=0,0,1)</t>
  </si>
  <si>
    <t>=P387+Q387</t>
  </si>
  <si>
    <t>=IF(R389=0,"HIDE","SHOW")</t>
  </si>
  <si>
    <t>=CONCATENATE("Total ",F359)</t>
  </si>
  <si>
    <t>=SUM(I360:I388)</t>
  </si>
  <si>
    <t>=SUM(K360:K388)</t>
  </si>
  <si>
    <t>=K389-I389</t>
  </si>
  <si>
    <t>=IF(I389=0,0,1)</t>
  </si>
  <si>
    <t>=IF(K389=0,0,1)</t>
  </si>
  <si>
    <t>=P389+Q389</t>
  </si>
  <si>
    <t>=B414</t>
  </si>
  <si>
    <t>=NL("First","G/L Account","Name","No.",C391)</t>
  </si>
  <si>
    <t>=IF(R392=0,"HIDE","SHOW")</t>
  </si>
  <si>
    <t>=NL("Rows","G/L Account",,"No.",C392)</t>
  </si>
  <si>
    <t>=NF(D392,"No.")</t>
  </si>
  <si>
    <t>=NF(D392,"Name")</t>
  </si>
  <si>
    <t>=NL("Sum","G/L Entry","Amount","Fund No.",$C$4,"Budget Plan No.",PYPLAN_FILTER,"G/L Account No.",$E392,"Department Code",Dept_Filter,"Transaction Type","Budget")</t>
  </si>
  <si>
    <t>=NL("Sum","Version LIne Worksheet","Amount","Fund No.",$C$4,"Plan No.",Plan_Filter,"G/L Account No.",$E392,"Department Code",Dept_Filter)</t>
  </si>
  <si>
    <t>=K392-I392</t>
  </si>
  <si>
    <t>=IF(I392=0,0,1)</t>
  </si>
  <si>
    <t>=IF(K392=0,0,1)</t>
  </si>
  <si>
    <t>=P392+Q392</t>
  </si>
  <si>
    <t>=IF(R393=0,"HIDE","SHOW")</t>
  </si>
  <si>
    <t>="""Mission ERP"",""GBRA"",""15"",""1"",""52202"""</t>
  </si>
  <si>
    <t>=NF(D393,"No.")</t>
  </si>
  <si>
    <t>=NF(D393,"Name")</t>
  </si>
  <si>
    <t>=NL("Sum","G/L Entry","Amount","Fund No.",$C$4,"Budget Plan No.",PYPLAN_FILTER,"G/L Account No.",$E393,"Department Code",Dept_Filter,"Transaction Type","Budget")</t>
  </si>
  <si>
    <t>=NL("Sum","Version LIne Worksheet","Amount","Fund No.",$C$4,"Plan No.",Plan_Filter,"G/L Account No.",$E393,"Department Code",Dept_Filter)</t>
  </si>
  <si>
    <t>=K393-I393</t>
  </si>
  <si>
    <t>=IF(I393=0,0,1)</t>
  </si>
  <si>
    <t>=IF(K393=0,0,1)</t>
  </si>
  <si>
    <t>=P393+Q393</t>
  </si>
  <si>
    <t>=IF(R394=0,"HIDE","SHOW")</t>
  </si>
  <si>
    <t>="""Mission ERP"",""GBRA"",""15"",""1"",""52204"""</t>
  </si>
  <si>
    <t>=NF(D394,"No.")</t>
  </si>
  <si>
    <t>=NF(D394,"Name")</t>
  </si>
  <si>
    <t>=NL("Sum","G/L Entry","Amount","Fund No.",$C$4,"Budget Plan No.",PYPLAN_FILTER,"G/L Account No.",$E394,"Department Code",Dept_Filter,"Transaction Type","Budget")</t>
  </si>
  <si>
    <t>=NL("Sum","Version LIne Worksheet","Amount","Fund No.",$C$4,"Plan No.",Plan_Filter,"G/L Account No.",$E394,"Department Code",Dept_Filter)</t>
  </si>
  <si>
    <t>=K394-I394</t>
  </si>
  <si>
    <t>=IF(I394=0,0,1)</t>
  </si>
  <si>
    <t>=IF(K394=0,0,1)</t>
  </si>
  <si>
    <t>=P394+Q394</t>
  </si>
  <si>
    <t>=IF(R395=0,"HIDE","SHOW")</t>
  </si>
  <si>
    <t>="""Mission ERP"",""GBRA"",""15"",""1"",""52205"""</t>
  </si>
  <si>
    <t>=NF(D395,"No.")</t>
  </si>
  <si>
    <t>=NF(D395,"Name")</t>
  </si>
  <si>
    <t>=NL("Sum","G/L Entry","Amount","Fund No.",$C$4,"Budget Plan No.",PYPLAN_FILTER,"G/L Account No.",$E395,"Department Code",Dept_Filter,"Transaction Type","Budget")</t>
  </si>
  <si>
    <t>=NL("Sum","Version LIne Worksheet","Amount","Fund No.",$C$4,"Plan No.",Plan_Filter,"G/L Account No.",$E395,"Department Code",Dept_Filter)</t>
  </si>
  <si>
    <t>=K395-I395</t>
  </si>
  <si>
    <t>=IF(I395=0,0,1)</t>
  </si>
  <si>
    <t>=IF(K395=0,0,1)</t>
  </si>
  <si>
    <t>=P395+Q395</t>
  </si>
  <si>
    <t>=IF(R396=0,"HIDE","SHOW")</t>
  </si>
  <si>
    <t>="""Mission ERP"",""GBRA"",""15"",""1"",""52208"""</t>
  </si>
  <si>
    <t>=NF(D396,"No.")</t>
  </si>
  <si>
    <t>=NF(D396,"Name")</t>
  </si>
  <si>
    <t>=NL("Sum","G/L Entry","Amount","Fund No.",$C$4,"Budget Plan No.",PYPLAN_FILTER,"G/L Account No.",$E396,"Department Code",Dept_Filter,"Transaction Type","Budget")</t>
  </si>
  <si>
    <t>=NL("Sum","Version LIne Worksheet","Amount","Fund No.",$C$4,"Plan No.",Plan_Filter,"G/L Account No.",$E396,"Department Code",Dept_Filter)</t>
  </si>
  <si>
    <t>=K396-I396</t>
  </si>
  <si>
    <t>=IF(I396=0,0,1)</t>
  </si>
  <si>
    <t>=IF(K396=0,0,1)</t>
  </si>
  <si>
    <t>=P396+Q396</t>
  </si>
  <si>
    <t>=IF(R397=0,"HIDE","SHOW")</t>
  </si>
  <si>
    <t>="""Mission ERP"",""GBRA"",""15"",""1"",""52209"""</t>
  </si>
  <si>
    <t>=NF(D397,"No.")</t>
  </si>
  <si>
    <t>=NF(D397,"Name")</t>
  </si>
  <si>
    <t>=NL("Sum","G/L Entry","Amount","Fund No.",$C$4,"Budget Plan No.",PYPLAN_FILTER,"G/L Account No.",$E397,"Department Code",Dept_Filter,"Transaction Type","Budget")</t>
  </si>
  <si>
    <t>=NL("Sum","Version LIne Worksheet","Amount","Fund No.",$C$4,"Plan No.",Plan_Filter,"G/L Account No.",$E397,"Department Code",Dept_Filter)</t>
  </si>
  <si>
    <t>=K397-I397</t>
  </si>
  <si>
    <t>=IF(I397=0,0,1)</t>
  </si>
  <si>
    <t>=IF(K397=0,0,1)</t>
  </si>
  <si>
    <t>=P397+Q397</t>
  </si>
  <si>
    <t>=IF(R398=0,"HIDE","SHOW")</t>
  </si>
  <si>
    <t>="""Mission ERP"",""GBRA"",""15"",""1"",""52210"""</t>
  </si>
  <si>
    <t>=NF(D398,"No.")</t>
  </si>
  <si>
    <t>=NF(D398,"Name")</t>
  </si>
  <si>
    <t>=NL("Sum","G/L Entry","Amount","Fund No.",$C$4,"Budget Plan No.",PYPLAN_FILTER,"G/L Account No.",$E398,"Department Code",Dept_Filter,"Transaction Type","Budget")</t>
  </si>
  <si>
    <t>=NL("Sum","Version LIne Worksheet","Amount","Fund No.",$C$4,"Plan No.",Plan_Filter,"G/L Account No.",$E398,"Department Code",Dept_Filter)</t>
  </si>
  <si>
    <t>=K398-I398</t>
  </si>
  <si>
    <t>=IF(I398=0,0,1)</t>
  </si>
  <si>
    <t>=IF(K398=0,0,1)</t>
  </si>
  <si>
    <t>=P398+Q398</t>
  </si>
  <si>
    <t>=IF(R399=0,"HIDE","SHOW")</t>
  </si>
  <si>
    <t>="""Mission ERP"",""GBRA"",""15"",""1"",""52211"""</t>
  </si>
  <si>
    <t>=NF(D399,"No.")</t>
  </si>
  <si>
    <t>=NF(D399,"Name")</t>
  </si>
  <si>
    <t>=NL("Sum","G/L Entry","Amount","Fund No.",$C$4,"Budget Plan No.",PYPLAN_FILTER,"G/L Account No.",$E399,"Department Code",Dept_Filter,"Transaction Type","Budget")</t>
  </si>
  <si>
    <t>=NL("Sum","Version LIne Worksheet","Amount","Fund No.",$C$4,"Plan No.",Plan_Filter,"G/L Account No.",$E399,"Department Code",Dept_Filter)</t>
  </si>
  <si>
    <t>=K399-I399</t>
  </si>
  <si>
    <t>=IF(I399=0,0,1)</t>
  </si>
  <si>
    <t>=IF(K399=0,0,1)</t>
  </si>
  <si>
    <t>=P399+Q399</t>
  </si>
  <si>
    <t>=IF(R400=0,"HIDE","SHOW")</t>
  </si>
  <si>
    <t>="""Mission ERP"",""GBRA"",""15"",""1"",""52212"""</t>
  </si>
  <si>
    <t>=NF(D400,"No.")</t>
  </si>
  <si>
    <t>=NF(D400,"Name")</t>
  </si>
  <si>
    <t>=NL("Sum","G/L Entry","Amount","Fund No.",$C$4,"Budget Plan No.",PYPLAN_FILTER,"G/L Account No.",$E400,"Department Code",Dept_Filter,"Transaction Type","Budget")</t>
  </si>
  <si>
    <t>=NL("Sum","Version LIne Worksheet","Amount","Fund No.",$C$4,"Plan No.",Plan_Filter,"G/L Account No.",$E400,"Department Code",Dept_Filter)</t>
  </si>
  <si>
    <t>=K400-I400</t>
  </si>
  <si>
    <t>=IF(I400=0,0,1)</t>
  </si>
  <si>
    <t>=IF(K400=0,0,1)</t>
  </si>
  <si>
    <t>=P400+Q400</t>
  </si>
  <si>
    <t>=IF(R401=0,"HIDE","SHOW")</t>
  </si>
  <si>
    <t>="""Mission ERP"",""GBRA"",""15"",""1"",""52213"""</t>
  </si>
  <si>
    <t>=NF(D401,"No.")</t>
  </si>
  <si>
    <t>=NF(D401,"Name")</t>
  </si>
  <si>
    <t>=NL("Sum","G/L Entry","Amount","Fund No.",$C$4,"Budget Plan No.",PYPLAN_FILTER,"G/L Account No.",$E401,"Department Code",Dept_Filter,"Transaction Type","Budget")</t>
  </si>
  <si>
    <t>=NL("Sum","Version LIne Worksheet","Amount","Fund No.",$C$4,"Plan No.",Plan_Filter,"G/L Account No.",$E401,"Department Code",Dept_Filter)</t>
  </si>
  <si>
    <t>=K401-I401</t>
  </si>
  <si>
    <t>=IF(I401=0,0,1)</t>
  </si>
  <si>
    <t>=IF(K401=0,0,1)</t>
  </si>
  <si>
    <t>=P401+Q401</t>
  </si>
  <si>
    <t>=IF(R402=0,"HIDE","SHOW")</t>
  </si>
  <si>
    <t>="""Mission ERP"",""GBRA"",""15"",""1"",""52214"""</t>
  </si>
  <si>
    <t>=NF(D402,"No.")</t>
  </si>
  <si>
    <t>=NF(D402,"Name")</t>
  </si>
  <si>
    <t>=NL("Sum","G/L Entry","Amount","Fund No.",$C$4,"Budget Plan No.",PYPLAN_FILTER,"G/L Account No.",$E402,"Department Code",Dept_Filter,"Transaction Type","Budget")</t>
  </si>
  <si>
    <t>=NL("Sum","Version LIne Worksheet","Amount","Fund No.",$C$4,"Plan No.",Plan_Filter,"G/L Account No.",$E402,"Department Code",Dept_Filter)</t>
  </si>
  <si>
    <t>=K402-I402</t>
  </si>
  <si>
    <t>=IF(I402=0,0,1)</t>
  </si>
  <si>
    <t>=IF(K402=0,0,1)</t>
  </si>
  <si>
    <t>=P402+Q402</t>
  </si>
  <si>
    <t>=IF(R403=0,"HIDE","SHOW")</t>
  </si>
  <si>
    <t>="""Mission ERP"",""GBRA"",""15"",""1"",""52215"""</t>
  </si>
  <si>
    <t>=NF(D403,"No.")</t>
  </si>
  <si>
    <t>=NF(D403,"Name")</t>
  </si>
  <si>
    <t>=NL("Sum","G/L Entry","Amount","Fund No.",$C$4,"Budget Plan No.",PYPLAN_FILTER,"G/L Account No.",$E403,"Department Code",Dept_Filter,"Transaction Type","Budget")</t>
  </si>
  <si>
    <t>=NL("Sum","Version LIne Worksheet","Amount","Fund No.",$C$4,"Plan No.",Plan_Filter,"G/L Account No.",$E403,"Department Code",Dept_Filter)</t>
  </si>
  <si>
    <t>=K403-I403</t>
  </si>
  <si>
    <t>=IF(I403=0,0,1)</t>
  </si>
  <si>
    <t>=IF(K403=0,0,1)</t>
  </si>
  <si>
    <t>=P403+Q403</t>
  </si>
  <si>
    <t>=IF(R404=0,"HIDE","SHOW")</t>
  </si>
  <si>
    <t>="""Mission ERP"",""GBRA"",""15"",""1"",""52216"""</t>
  </si>
  <si>
    <t>=NF(D404,"No.")</t>
  </si>
  <si>
    <t>=NF(D404,"Name")</t>
  </si>
  <si>
    <t>=NL("Sum","G/L Entry","Amount","Fund No.",$C$4,"Budget Plan No.",PYPLAN_FILTER,"G/L Account No.",$E404,"Department Code",Dept_Filter,"Transaction Type","Budget")</t>
  </si>
  <si>
    <t>=NL("Sum","Version LIne Worksheet","Amount","Fund No.",$C$4,"Plan No.",Plan_Filter,"G/L Account No.",$E404,"Department Code",Dept_Filter)</t>
  </si>
  <si>
    <t>=K404-I404</t>
  </si>
  <si>
    <t>=IF(I404=0,0,1)</t>
  </si>
  <si>
    <t>=IF(K404=0,0,1)</t>
  </si>
  <si>
    <t>=P404+Q404</t>
  </si>
  <si>
    <t>=IF(R405=0,"HIDE","SHOW")</t>
  </si>
  <si>
    <t>="""Mission ERP"",""GBRA"",""15"",""1"",""52217"""</t>
  </si>
  <si>
    <t>=NF(D405,"No.")</t>
  </si>
  <si>
    <t>=NF(D405,"Name")</t>
  </si>
  <si>
    <t>=NL("Sum","G/L Entry","Amount","Fund No.",$C$4,"Budget Plan No.",PYPLAN_FILTER,"G/L Account No.",$E405,"Department Code",Dept_Filter,"Transaction Type","Budget")</t>
  </si>
  <si>
    <t>=NL("Sum","Version LIne Worksheet","Amount","Fund No.",$C$4,"Plan No.",Plan_Filter,"G/L Account No.",$E405,"Department Code",Dept_Filter)</t>
  </si>
  <si>
    <t>=K405-I405</t>
  </si>
  <si>
    <t>=IF(I405=0,0,1)</t>
  </si>
  <si>
    <t>=IF(K405=0,0,1)</t>
  </si>
  <si>
    <t>=P405+Q405</t>
  </si>
  <si>
    <t>=IF(R406=0,"HIDE","SHOW")</t>
  </si>
  <si>
    <t>="""Mission ERP"",""GBRA"",""15"",""1"",""52218"""</t>
  </si>
  <si>
    <t>=NF(D406,"No.")</t>
  </si>
  <si>
    <t>=NF(D406,"Name")</t>
  </si>
  <si>
    <t>=NL("Sum","G/L Entry","Amount","Fund No.",$C$4,"Budget Plan No.",PYPLAN_FILTER,"G/L Account No.",$E406,"Department Code",Dept_Filter,"Transaction Type","Budget")</t>
  </si>
  <si>
    <t>=NL("Sum","Version LIne Worksheet","Amount","Fund No.",$C$4,"Plan No.",Plan_Filter,"G/L Account No.",$E406,"Department Code",Dept_Filter)</t>
  </si>
  <si>
    <t>=K406-I406</t>
  </si>
  <si>
    <t>=IF(I406=0,0,1)</t>
  </si>
  <si>
    <t>=IF(K406=0,0,1)</t>
  </si>
  <si>
    <t>=P406+Q406</t>
  </si>
  <si>
    <t>=IF(R407=0,"HIDE","SHOW")</t>
  </si>
  <si>
    <t>="""Mission ERP"",""GBRA"",""15"",""1"",""52219"""</t>
  </si>
  <si>
    <t>=NF(D407,"No.")</t>
  </si>
  <si>
    <t>=NF(D407,"Name")</t>
  </si>
  <si>
    <t>=NL("Sum","G/L Entry","Amount","Fund No.",$C$4,"Budget Plan No.",PYPLAN_FILTER,"G/L Account No.",$E407,"Department Code",Dept_Filter,"Transaction Type","Budget")</t>
  </si>
  <si>
    <t>=NL("Sum","Version LIne Worksheet","Amount","Fund No.",$C$4,"Plan No.",Plan_Filter,"G/L Account No.",$E407,"Department Code",Dept_Filter)</t>
  </si>
  <si>
    <t>=K407-I407</t>
  </si>
  <si>
    <t>=IF(I407=0,0,1)</t>
  </si>
  <si>
    <t>=IF(K407=0,0,1)</t>
  </si>
  <si>
    <t>=P407+Q407</t>
  </si>
  <si>
    <t>=IF(R408=0,"HIDE","SHOW")</t>
  </si>
  <si>
    <t>="""Mission ERP"",""GBRA"",""15"",""1"",""52220"""</t>
  </si>
  <si>
    <t>=NF(D408,"No.")</t>
  </si>
  <si>
    <t>=NF(D408,"Name")</t>
  </si>
  <si>
    <t>=NL("Sum","G/L Entry","Amount","Fund No.",$C$4,"Budget Plan No.",PYPLAN_FILTER,"G/L Account No.",$E408,"Department Code",Dept_Filter,"Transaction Type","Budget")</t>
  </si>
  <si>
    <t>=NL("Sum","Version LIne Worksheet","Amount","Fund No.",$C$4,"Plan No.",Plan_Filter,"G/L Account No.",$E408,"Department Code",Dept_Filter)</t>
  </si>
  <si>
    <t>=K408-I408</t>
  </si>
  <si>
    <t>=IF(I408=0,0,1)</t>
  </si>
  <si>
    <t>=IF(K408=0,0,1)</t>
  </si>
  <si>
    <t>=P408+Q408</t>
  </si>
  <si>
    <t>=IF(R409=0,"HIDE","SHOW")</t>
  </si>
  <si>
    <t>="""Mission ERP"",""GBRA"",""15"",""1"",""52221"""</t>
  </si>
  <si>
    <t>=NF(D409,"No.")</t>
  </si>
  <si>
    <t>=NF(D409,"Name")</t>
  </si>
  <si>
    <t>=NL("Sum","G/L Entry","Amount","Fund No.",$C$4,"Budget Plan No.",PYPLAN_FILTER,"G/L Account No.",$E409,"Department Code",Dept_Filter,"Transaction Type","Budget")</t>
  </si>
  <si>
    <t>=NL("Sum","Version LIne Worksheet","Amount","Fund No.",$C$4,"Plan No.",Plan_Filter,"G/L Account No.",$E409,"Department Code",Dept_Filter)</t>
  </si>
  <si>
    <t>=K409-I409</t>
  </si>
  <si>
    <t>=IF(I409=0,0,1)</t>
  </si>
  <si>
    <t>=IF(K409=0,0,1)</t>
  </si>
  <si>
    <t>=P409+Q409</t>
  </si>
  <si>
    <t>=IF(R410=0,"HIDE","SHOW")</t>
  </si>
  <si>
    <t>="""Mission ERP"",""GBRA"",""15"",""1"",""52222"""</t>
  </si>
  <si>
    <t>=NF(D410,"No.")</t>
  </si>
  <si>
    <t>=NF(D410,"Name")</t>
  </si>
  <si>
    <t>=NL("Sum","G/L Entry","Amount","Fund No.",$C$4,"Budget Plan No.",PYPLAN_FILTER,"G/L Account No.",$E410,"Department Code",Dept_Filter,"Transaction Type","Budget")</t>
  </si>
  <si>
    <t>=NL("Sum","Version LIne Worksheet","Amount","Fund No.",$C$4,"Plan No.",Plan_Filter,"G/L Account No.",$E410,"Department Code",Dept_Filter)</t>
  </si>
  <si>
    <t>=K410-I410</t>
  </si>
  <si>
    <t>=IF(I410=0,0,1)</t>
  </si>
  <si>
    <t>=IF(K410=0,0,1)</t>
  </si>
  <si>
    <t>=P410+Q410</t>
  </si>
  <si>
    <t>=IF(R411=0,"HIDE","SHOW")</t>
  </si>
  <si>
    <t>="""Mission ERP"",""GBRA"",""15"",""1"",""52223"""</t>
  </si>
  <si>
    <t>=NF(D411,"No.")</t>
  </si>
  <si>
    <t>=NF(D411,"Name")</t>
  </si>
  <si>
    <t>=NL("Sum","G/L Entry","Amount","Fund No.",$C$4,"Budget Plan No.",PYPLAN_FILTER,"G/L Account No.",$E411,"Department Code",Dept_Filter,"Transaction Type","Budget")</t>
  </si>
  <si>
    <t>=NL("Sum","Version LIne Worksheet","Amount","Fund No.",$C$4,"Plan No.",Plan_Filter,"G/L Account No.",$E411,"Department Code",Dept_Filter)</t>
  </si>
  <si>
    <t>=K411-I411</t>
  </si>
  <si>
    <t>=IF(I411=0,0,1)</t>
  </si>
  <si>
    <t>=IF(K411=0,0,1)</t>
  </si>
  <si>
    <t>=P411+Q411</t>
  </si>
  <si>
    <t>=IF(R412=0,"HIDE","SHOW")</t>
  </si>
  <si>
    <t>="""Mission ERP"",""GBRA"",""15"",""1"",""52224"""</t>
  </si>
  <si>
    <t>=NF(D412,"No.")</t>
  </si>
  <si>
    <t>=NF(D412,"Name")</t>
  </si>
  <si>
    <t>=NL("Sum","G/L Entry","Amount","Fund No.",$C$4,"Budget Plan No.",PYPLAN_FILTER,"G/L Account No.",$E412,"Department Code",Dept_Filter,"Transaction Type","Budget")</t>
  </si>
  <si>
    <t>=NL("Sum","Version LIne Worksheet","Amount","Fund No.",$C$4,"Plan No.",Plan_Filter,"G/L Account No.",$E412,"Department Code",Dept_Filter)</t>
  </si>
  <si>
    <t>=K412-I412</t>
  </si>
  <si>
    <t>=IF(I412=0,0,1)</t>
  </si>
  <si>
    <t>=IF(K412=0,0,1)</t>
  </si>
  <si>
    <t>=P412+Q412</t>
  </si>
  <si>
    <t>=IF(R414=0,"HIDE","SHOW")</t>
  </si>
  <si>
    <t>=CONCATENATE("Total ",F391)</t>
  </si>
  <si>
    <t>=SUM(I392:I413)</t>
  </si>
  <si>
    <t>=SUM(K392:K413)</t>
  </si>
  <si>
    <t>=K414-I414</t>
  </si>
  <si>
    <t>=IF(I414=0,0,1)</t>
  </si>
  <si>
    <t>=IF(K414=0,0,1)</t>
  </si>
  <si>
    <t>=P414+Q414</t>
  </si>
  <si>
    <t>=B430</t>
  </si>
  <si>
    <t>=NL("First","G/L Account","Name","No.",C416)</t>
  </si>
  <si>
    <t>=IF(R417=0,"HIDE","SHOW")</t>
  </si>
  <si>
    <t>=NL("Rows","G/L Account",,"No.",C417)</t>
  </si>
  <si>
    <t>=NF(D417,"No.")</t>
  </si>
  <si>
    <t>=NF(D417,"Name")</t>
  </si>
  <si>
    <t>=NL("Sum","G/L Entry","Amount","Fund No.",$C$4,"Budget Plan No.",PYPLAN_FILTER,"G/L Account No.",$E417,"Department Code",Dept_Filter,"Transaction Type","Budget")</t>
  </si>
  <si>
    <t>=NL("Sum","Version LIne Worksheet","Amount","Fund No.",$C$4,"Plan No.",Plan_Filter,"G/L Account No.",$E417,"Department Code",Dept_Filter)</t>
  </si>
  <si>
    <t>=K417-I417</t>
  </si>
  <si>
    <t>=IF(I417=0,0,1)</t>
  </si>
  <si>
    <t>=IF(K417=0,0,1)</t>
  </si>
  <si>
    <t>=P417+Q417</t>
  </si>
  <si>
    <t>=IF(R418=0,"HIDE","SHOW")</t>
  </si>
  <si>
    <t>="""Mission ERP"",""GBRA"",""15"",""1"",""52302"""</t>
  </si>
  <si>
    <t>=NF(D418,"No.")</t>
  </si>
  <si>
    <t>=NF(D418,"Name")</t>
  </si>
  <si>
    <t>=NL("Sum","G/L Entry","Amount","Fund No.",$C$4,"Budget Plan No.",PYPLAN_FILTER,"G/L Account No.",$E418,"Department Code",Dept_Filter,"Transaction Type","Budget")</t>
  </si>
  <si>
    <t>=NL("Sum","Version LIne Worksheet","Amount","Fund No.",$C$4,"Plan No.",Plan_Filter,"G/L Account No.",$E418,"Department Code",Dept_Filter)</t>
  </si>
  <si>
    <t>=K418-I418</t>
  </si>
  <si>
    <t>=IF(I418=0,0,1)</t>
  </si>
  <si>
    <t>=IF(K418=0,0,1)</t>
  </si>
  <si>
    <t>=P418+Q418</t>
  </si>
  <si>
    <t>=IF(R419=0,"HIDE","SHOW")</t>
  </si>
  <si>
    <t>="""Mission ERP"",""GBRA"",""15"",""1"",""52303"""</t>
  </si>
  <si>
    <t>=NF(D419,"No.")</t>
  </si>
  <si>
    <t>=NF(D419,"Name")</t>
  </si>
  <si>
    <t>=NL("Sum","G/L Entry","Amount","Fund No.",$C$4,"Budget Plan No.",PYPLAN_FILTER,"G/L Account No.",$E419,"Department Code",Dept_Filter,"Transaction Type","Budget")</t>
  </si>
  <si>
    <t>=NL("Sum","Version LIne Worksheet","Amount","Fund No.",$C$4,"Plan No.",Plan_Filter,"G/L Account No.",$E419,"Department Code",Dept_Filter)</t>
  </si>
  <si>
    <t>=K419-I419</t>
  </si>
  <si>
    <t>=IF(I419=0,0,1)</t>
  </si>
  <si>
    <t>=IF(K419=0,0,1)</t>
  </si>
  <si>
    <t>=P419+Q419</t>
  </si>
  <si>
    <t>=IF(R420=0,"HIDE","SHOW")</t>
  </si>
  <si>
    <t>="""Mission ERP"",""GBRA"",""15"",""1"",""52304"""</t>
  </si>
  <si>
    <t>=NF(D420,"No.")</t>
  </si>
  <si>
    <t>=NF(D420,"Name")</t>
  </si>
  <si>
    <t>=NL("Sum","G/L Entry","Amount","Fund No.",$C$4,"Budget Plan No.",PYPLAN_FILTER,"G/L Account No.",$E420,"Department Code",Dept_Filter,"Transaction Type","Budget")</t>
  </si>
  <si>
    <t>=NL("Sum","Version LIne Worksheet","Amount","Fund No.",$C$4,"Plan No.",Plan_Filter,"G/L Account No.",$E420,"Department Code",Dept_Filter)</t>
  </si>
  <si>
    <t>=K420-I420</t>
  </si>
  <si>
    <t>=IF(I420=0,0,1)</t>
  </si>
  <si>
    <t>=IF(K420=0,0,1)</t>
  </si>
  <si>
    <t>=P420+Q420</t>
  </si>
  <si>
    <t>=IF(R421=0,"HIDE","SHOW")</t>
  </si>
  <si>
    <t>="""Mission ERP"",""GBRA"",""15"",""1"",""52305"""</t>
  </si>
  <si>
    <t>=NF(D421,"No.")</t>
  </si>
  <si>
    <t>=NF(D421,"Name")</t>
  </si>
  <si>
    <t>=NL("Sum","G/L Entry","Amount","Fund No.",$C$4,"Budget Plan No.",PYPLAN_FILTER,"G/L Account No.",$E421,"Department Code",Dept_Filter,"Transaction Type","Budget")</t>
  </si>
  <si>
    <t>=NL("Sum","Version LIne Worksheet","Amount","Fund No.",$C$4,"Plan No.",Plan_Filter,"G/L Account No.",$E421,"Department Code",Dept_Filter)</t>
  </si>
  <si>
    <t>=K421-I421</t>
  </si>
  <si>
    <t>=IF(I421=0,0,1)</t>
  </si>
  <si>
    <t>=IF(K421=0,0,1)</t>
  </si>
  <si>
    <t>=P421+Q421</t>
  </si>
  <si>
    <t>=IF(R422=0,"HIDE","SHOW")</t>
  </si>
  <si>
    <t>="""Mission ERP"",""GBRA"",""15"",""1"",""52306"""</t>
  </si>
  <si>
    <t>=NF(D422,"No.")</t>
  </si>
  <si>
    <t>=NF(D422,"Name")</t>
  </si>
  <si>
    <t>=NL("Sum","G/L Entry","Amount","Fund No.",$C$4,"Budget Plan No.",PYPLAN_FILTER,"G/L Account No.",$E422,"Department Code",Dept_Filter,"Transaction Type","Budget")</t>
  </si>
  <si>
    <t>=NL("Sum","Version LIne Worksheet","Amount","Fund No.",$C$4,"Plan No.",Plan_Filter,"G/L Account No.",$E422,"Department Code",Dept_Filter)</t>
  </si>
  <si>
    <t>=K422-I422</t>
  </si>
  <si>
    <t>=IF(I422=0,0,1)</t>
  </si>
  <si>
    <t>=IF(K422=0,0,1)</t>
  </si>
  <si>
    <t>=P422+Q422</t>
  </si>
  <si>
    <t>=IF(R423=0,"HIDE","SHOW")</t>
  </si>
  <si>
    <t>="""Mission ERP"",""GBRA"",""15"",""1"",""52320"""</t>
  </si>
  <si>
    <t>=NF(D423,"No.")</t>
  </si>
  <si>
    <t>=NF(D423,"Name")</t>
  </si>
  <si>
    <t>=NL("Sum","G/L Entry","Amount","Fund No.",$C$4,"Budget Plan No.",PYPLAN_FILTER,"G/L Account No.",$E423,"Department Code",Dept_Filter,"Transaction Type","Budget")</t>
  </si>
  <si>
    <t>=NL("Sum","Version LIne Worksheet","Amount","Fund No.",$C$4,"Plan No.",Plan_Filter,"G/L Account No.",$E423,"Department Code",Dept_Filter)</t>
  </si>
  <si>
    <t>=K423-I423</t>
  </si>
  <si>
    <t>=IF(I423=0,0,1)</t>
  </si>
  <si>
    <t>=IF(K423=0,0,1)</t>
  </si>
  <si>
    <t>=P423+Q423</t>
  </si>
  <si>
    <t>=IF(R424=0,"HIDE","SHOW")</t>
  </si>
  <si>
    <t>="""Mission ERP"",""GBRA"",""15"",""1"",""52321"""</t>
  </si>
  <si>
    <t>=NF(D424,"No.")</t>
  </si>
  <si>
    <t>=NF(D424,"Name")</t>
  </si>
  <si>
    <t>=NL("Sum","G/L Entry","Amount","Fund No.",$C$4,"Budget Plan No.",PYPLAN_FILTER,"G/L Account No.",$E424,"Department Code",Dept_Filter,"Transaction Type","Budget")</t>
  </si>
  <si>
    <t>=NL("Sum","Version LIne Worksheet","Amount","Fund No.",$C$4,"Plan No.",Plan_Filter,"G/L Account No.",$E424,"Department Code",Dept_Filter)</t>
  </si>
  <si>
    <t>=K424-I424</t>
  </si>
  <si>
    <t>=IF(I424=0,0,1)</t>
  </si>
  <si>
    <t>=IF(K424=0,0,1)</t>
  </si>
  <si>
    <t>=P424+Q424</t>
  </si>
  <si>
    <t>=IF(R425=0,"HIDE","SHOW")</t>
  </si>
  <si>
    <t>="""Mission ERP"",""GBRA"",""15"",""1"",""52322"""</t>
  </si>
  <si>
    <t>=NF(D425,"No.")</t>
  </si>
  <si>
    <t>=NF(D425,"Name")</t>
  </si>
  <si>
    <t>=NL("Sum","G/L Entry","Amount","Fund No.",$C$4,"Budget Plan No.",PYPLAN_FILTER,"G/L Account No.",$E425,"Department Code",Dept_Filter,"Transaction Type","Budget")</t>
  </si>
  <si>
    <t>=NL("Sum","Version LIne Worksheet","Amount","Fund No.",$C$4,"Plan No.",Plan_Filter,"G/L Account No.",$E425,"Department Code",Dept_Filter)</t>
  </si>
  <si>
    <t>=K425-I425</t>
  </si>
  <si>
    <t>=IF(I425=0,0,1)</t>
  </si>
  <si>
    <t>=IF(K425=0,0,1)</t>
  </si>
  <si>
    <t>=P425+Q425</t>
  </si>
  <si>
    <t>=IF(R426=0,"HIDE","SHOW")</t>
  </si>
  <si>
    <t>="""Mission ERP"",""GBRA"",""15"",""1"",""52323"""</t>
  </si>
  <si>
    <t>=NF(D426,"No.")</t>
  </si>
  <si>
    <t>=NF(D426,"Name")</t>
  </si>
  <si>
    <t>=NL("Sum","G/L Entry","Amount","Fund No.",$C$4,"Budget Plan No.",PYPLAN_FILTER,"G/L Account No.",$E426,"Department Code",Dept_Filter,"Transaction Type","Budget")</t>
  </si>
  <si>
    <t>=NL("Sum","Version LIne Worksheet","Amount","Fund No.",$C$4,"Plan No.",Plan_Filter,"G/L Account No.",$E426,"Department Code",Dept_Filter)</t>
  </si>
  <si>
    <t>=K426-I426</t>
  </si>
  <si>
    <t>=IF(I426=0,0,1)</t>
  </si>
  <si>
    <t>=IF(K426=0,0,1)</t>
  </si>
  <si>
    <t>=P426+Q426</t>
  </si>
  <si>
    <t>=IF(R427=0,"HIDE","SHOW")</t>
  </si>
  <si>
    <t>="""Mission ERP"",""GBRA"",""15"",""1"",""52330"""</t>
  </si>
  <si>
    <t>=NF(D427,"No.")</t>
  </si>
  <si>
    <t>=NF(D427,"Name")</t>
  </si>
  <si>
    <t>=NL("Sum","G/L Entry","Amount","Fund No.",$C$4,"Budget Plan No.",PYPLAN_FILTER,"G/L Account No.",$E427,"Department Code",Dept_Filter,"Transaction Type","Budget")</t>
  </si>
  <si>
    <t>=NL("Sum","Version LIne Worksheet","Amount","Fund No.",$C$4,"Plan No.",Plan_Filter,"G/L Account No.",$E427,"Department Code",Dept_Filter)</t>
  </si>
  <si>
    <t>=K427-I427</t>
  </si>
  <si>
    <t>=IF(I427=0,0,1)</t>
  </si>
  <si>
    <t>=IF(K427=0,0,1)</t>
  </si>
  <si>
    <t>=P427+Q427</t>
  </si>
  <si>
    <t>=IF(R428=0,"HIDE","SHOW")</t>
  </si>
  <si>
    <t>="""Mission ERP"",""GBRA"",""15"",""1"",""52331"""</t>
  </si>
  <si>
    <t>=NF(D428,"No.")</t>
  </si>
  <si>
    <t>=NF(D428,"Name")</t>
  </si>
  <si>
    <t>=NL("Sum","G/L Entry","Amount","Fund No.",$C$4,"Budget Plan No.",PYPLAN_FILTER,"G/L Account No.",$E428,"Department Code",Dept_Filter,"Transaction Type","Budget")</t>
  </si>
  <si>
    <t>=NL("Sum","Version LIne Worksheet","Amount","Fund No.",$C$4,"Plan No.",Plan_Filter,"G/L Account No.",$E428,"Department Code",Dept_Filter)</t>
  </si>
  <si>
    <t>=K428-I428</t>
  </si>
  <si>
    <t>=IF(I428=0,0,1)</t>
  </si>
  <si>
    <t>=IF(K428=0,0,1)</t>
  </si>
  <si>
    <t>=P428+Q428</t>
  </si>
  <si>
    <t>=IF(R430=0,"HIDE","SHOW")</t>
  </si>
  <si>
    <t>=CONCATENATE("Total ",F416)</t>
  </si>
  <si>
    <t>=SUM(I417:I429)</t>
  </si>
  <si>
    <t>=SUM(K417:K429)</t>
  </si>
  <si>
    <t>=K430-I430</t>
  </si>
  <si>
    <t>=IF(I430=0,0,1)</t>
  </si>
  <si>
    <t>=IF(K430=0,0,1)</t>
  </si>
  <si>
    <t>=P430+Q430</t>
  </si>
  <si>
    <t>=B443</t>
  </si>
  <si>
    <t>=NL("First","G/L Account","Name","No.",C432)</t>
  </si>
  <si>
    <t>=IF(R433=0,"HIDE","SHOW")</t>
  </si>
  <si>
    <t>=NL("Rows","G/L Account",,"No.",C433,"Account Type","Posting")</t>
  </si>
  <si>
    <t>=NF(D433,"No.")</t>
  </si>
  <si>
    <t>=NF(D433,"Name")</t>
  </si>
  <si>
    <t>=NL("Sum","G/L Entry","Amount","Fund No.",$C$4,"Budget Plan No.",PYPLAN_FILTER,"G/L Account No.",$E433,"Department Code",Dept_Filter,"Transaction Type","Budget")</t>
  </si>
  <si>
    <t>=NL("Sum","Version LIne Worksheet","Amount","Fund No.",$C$4,"Plan No.",Plan_Filter,"G/L Account No.",$E433,"Department Code",Dept_Filter)</t>
  </si>
  <si>
    <t>=K433-I433</t>
  </si>
  <si>
    <t>=IF(I433=0,0,1)</t>
  </si>
  <si>
    <t>=IF(K433=0,0,1)</t>
  </si>
  <si>
    <t>=P433+Q433</t>
  </si>
  <si>
    <t>=IF(R434=0,"HIDE","SHOW")</t>
  </si>
  <si>
    <t>="""Mission ERP"",""GBRA"",""15"",""1"",""52402"""</t>
  </si>
  <si>
    <t>=NF(D434,"No.")</t>
  </si>
  <si>
    <t>=NF(D434,"Name")</t>
  </si>
  <si>
    <t>=NL("Sum","G/L Entry","Amount","Fund No.",$C$4,"Budget Plan No.",PYPLAN_FILTER,"G/L Account No.",$E434,"Department Code",Dept_Filter,"Transaction Type","Budget")</t>
  </si>
  <si>
    <t>=NL("Sum","Version LIne Worksheet","Amount","Fund No.",$C$4,"Plan No.",Plan_Filter,"G/L Account No.",$E434,"Department Code",Dept_Filter)</t>
  </si>
  <si>
    <t>=K434-I434</t>
  </si>
  <si>
    <t>=IF(I434=0,0,1)</t>
  </si>
  <si>
    <t>=IF(K434=0,0,1)</t>
  </si>
  <si>
    <t>=P434+Q434</t>
  </si>
  <si>
    <t>=IF(R435=0,"HIDE","SHOW")</t>
  </si>
  <si>
    <t>="""Mission ERP"",""GBRA"",""15"",""1"",""52403"""</t>
  </si>
  <si>
    <t>=NF(D435,"No.")</t>
  </si>
  <si>
    <t>=NF(D435,"Name")</t>
  </si>
  <si>
    <t>=NL("Sum","G/L Entry","Amount","Fund No.",$C$4,"Budget Plan No.",PYPLAN_FILTER,"G/L Account No.",$E435,"Department Code",Dept_Filter,"Transaction Type","Budget")</t>
  </si>
  <si>
    <t>=NL("Sum","Version LIne Worksheet","Amount","Fund No.",$C$4,"Plan No.",Plan_Filter,"G/L Account No.",$E435,"Department Code",Dept_Filter)</t>
  </si>
  <si>
    <t>=K435-I435</t>
  </si>
  <si>
    <t>=IF(I435=0,0,1)</t>
  </si>
  <si>
    <t>=IF(K435=0,0,1)</t>
  </si>
  <si>
    <t>=P435+Q435</t>
  </si>
  <si>
    <t>=IF(R436=0,"HIDE","SHOW")</t>
  </si>
  <si>
    <t>="""Mission ERP"",""GBRA"",""15"",""1"",""52404"""</t>
  </si>
  <si>
    <t>=NF(D436,"No.")</t>
  </si>
  <si>
    <t>=NF(D436,"Name")</t>
  </si>
  <si>
    <t>=NL("Sum","G/L Entry","Amount","Fund No.",$C$4,"Budget Plan No.",PYPLAN_FILTER,"G/L Account No.",$E436,"Department Code",Dept_Filter,"Transaction Type","Budget")</t>
  </si>
  <si>
    <t>=NL("Sum","Version LIne Worksheet","Amount","Fund No.",$C$4,"Plan No.",Plan_Filter,"G/L Account No.",$E436,"Department Code",Dept_Filter)</t>
  </si>
  <si>
    <t>=K436-I436</t>
  </si>
  <si>
    <t>=IF(I436=0,0,1)</t>
  </si>
  <si>
    <t>=IF(K436=0,0,1)</t>
  </si>
  <si>
    <t>=P436+Q436</t>
  </si>
  <si>
    <t>=IF(R437=0,"HIDE","SHOW")</t>
  </si>
  <si>
    <t>="""Mission ERP"",""GBRA"",""15"",""1"",""52405"""</t>
  </si>
  <si>
    <t>=NF(D437,"No.")</t>
  </si>
  <si>
    <t>=NF(D437,"Name")</t>
  </si>
  <si>
    <t>=NL("Sum","G/L Entry","Amount","Fund No.",$C$4,"Budget Plan No.",PYPLAN_FILTER,"G/L Account No.",$E437,"Department Code",Dept_Filter,"Transaction Type","Budget")</t>
  </si>
  <si>
    <t>=NL("Sum","Version LIne Worksheet","Amount","Fund No.",$C$4,"Plan No.",Plan_Filter,"G/L Account No.",$E437,"Department Code",Dept_Filter)</t>
  </si>
  <si>
    <t>=K437-I437</t>
  </si>
  <si>
    <t>=IF(I437=0,0,1)</t>
  </si>
  <si>
    <t>=IF(K437=0,0,1)</t>
  </si>
  <si>
    <t>=P437+Q437</t>
  </si>
  <si>
    <t>=IF(R438=0,"HIDE","SHOW")</t>
  </si>
  <si>
    <t>="""Mission ERP"",""GBRA"",""15"",""1"",""52406"""</t>
  </si>
  <si>
    <t>=NF(D438,"No.")</t>
  </si>
  <si>
    <t>=NF(D438,"Name")</t>
  </si>
  <si>
    <t>=NL("Sum","G/L Entry","Amount","Fund No.",$C$4,"Budget Plan No.",PYPLAN_FILTER,"G/L Account No.",$E438,"Department Code",Dept_Filter,"Transaction Type","Budget")</t>
  </si>
  <si>
    <t>=NL("Sum","Version LIne Worksheet","Amount","Fund No.",$C$4,"Plan No.",Plan_Filter,"G/L Account No.",$E438,"Department Code",Dept_Filter)</t>
  </si>
  <si>
    <t>=K438-I438</t>
  </si>
  <si>
    <t>=IF(I438=0,0,1)</t>
  </si>
  <si>
    <t>=IF(K438=0,0,1)</t>
  </si>
  <si>
    <t>=P438+Q438</t>
  </si>
  <si>
    <t>=IF(R439=0,"HIDE","SHOW")</t>
  </si>
  <si>
    <t>="""Mission ERP"",""GBRA"",""15"",""1"",""52420"""</t>
  </si>
  <si>
    <t>=NF(D439,"No.")</t>
  </si>
  <si>
    <t>=NF(D439,"Name")</t>
  </si>
  <si>
    <t>=NL("Sum","G/L Entry","Amount","Fund No.",$C$4,"Budget Plan No.",PYPLAN_FILTER,"G/L Account No.",$E439,"Department Code",Dept_Filter,"Transaction Type","Budget")</t>
  </si>
  <si>
    <t>=NL("Sum","Version LIne Worksheet","Amount","Fund No.",$C$4,"Plan No.",Plan_Filter,"G/L Account No.",$E439,"Department Code",Dept_Filter)</t>
  </si>
  <si>
    <t>=K439-I439</t>
  </si>
  <si>
    <t>=IF(I439=0,0,1)</t>
  </si>
  <si>
    <t>=IF(K439=0,0,1)</t>
  </si>
  <si>
    <t>=P439+Q439</t>
  </si>
  <si>
    <t>=IF(R440=0,"HIDE","SHOW")</t>
  </si>
  <si>
    <t>="""Mission ERP"",""GBRA"",""15"",""1"",""52430"""</t>
  </si>
  <si>
    <t>=NF(D440,"No.")</t>
  </si>
  <si>
    <t>=NF(D440,"Name")</t>
  </si>
  <si>
    <t>=NL("Sum","G/L Entry","Amount","Fund No.",$C$4,"Budget Plan No.",PYPLAN_FILTER,"G/L Account No.",$E440,"Department Code",Dept_Filter,"Transaction Type","Budget")</t>
  </si>
  <si>
    <t>=NL("Sum","Version LIne Worksheet","Amount","Fund No.",$C$4,"Plan No.",Plan_Filter,"G/L Account No.",$E440,"Department Code",Dept_Filter)</t>
  </si>
  <si>
    <t>=K440-I440</t>
  </si>
  <si>
    <t>=IF(I440=0,0,1)</t>
  </si>
  <si>
    <t>=IF(K440=0,0,1)</t>
  </si>
  <si>
    <t>=P440+Q440</t>
  </si>
  <si>
    <t>=IF(R441=0,"HIDE","SHOW")</t>
  </si>
  <si>
    <t>="""Mission ERP"",""GBRA"",""15"",""1"",""52450"""</t>
  </si>
  <si>
    <t>=NF(D441,"No.")</t>
  </si>
  <si>
    <t>=NF(D441,"Name")</t>
  </si>
  <si>
    <t>=NL("Sum","G/L Entry","Amount","Fund No.",$C$4,"Budget Plan No.",PYPLAN_FILTER,"G/L Account No.",$E441,"Department Code",Dept_Filter,"Transaction Type","Budget")</t>
  </si>
  <si>
    <t>=NL("Sum","Version LIne Worksheet","Amount","Fund No.",$C$4,"Plan No.",Plan_Filter,"G/L Account No.",$E441,"Department Code",Dept_Filter)</t>
  </si>
  <si>
    <t>=K441-I441</t>
  </si>
  <si>
    <t>=IF(I441=0,0,1)</t>
  </si>
  <si>
    <t>=IF(K441=0,0,1)</t>
  </si>
  <si>
    <t>=P441+Q441</t>
  </si>
  <si>
    <t>=IF(R443=0,"HIDE","SHOW")</t>
  </si>
  <si>
    <t>=CONCATENATE("Total ",F432)</t>
  </si>
  <si>
    <t>=SUM(I433:I442)</t>
  </si>
  <si>
    <t>=SUM(K433:K442)</t>
  </si>
  <si>
    <t>=K443-I443</t>
  </si>
  <si>
    <t>=IF(I443=0,0,1)</t>
  </si>
  <si>
    <t>=IF(K443=0,0,1)</t>
  </si>
  <si>
    <t>=P443+Q443</t>
  </si>
  <si>
    <t>=IF(R445=0,"HIDE","SHOW")</t>
  </si>
  <si>
    <t>=I443+I430+I414+I389+I357+I345</t>
  </si>
  <si>
    <t>=K443+K430+K414+K389+K357+K345</t>
  </si>
  <si>
    <t>=K445-I445</t>
  </si>
  <si>
    <t>=IF(I445=0,0,1)</t>
  </si>
  <si>
    <t>=IF(K445=0,0,1)</t>
  </si>
  <si>
    <t>=P445+Q445</t>
  </si>
  <si>
    <t>=B455</t>
  </si>
  <si>
    <t>=IF(R448=0,"HIDE","SHOW")</t>
  </si>
  <si>
    <t>=NL("Rows","G/L Account",,"No.",C448,"Account Type","Posting")</t>
  </si>
  <si>
    <t>=NF(D448,"No.")</t>
  </si>
  <si>
    <t>=NF(D448,"Name")</t>
  </si>
  <si>
    <t>=NL("Sum","G/L Entry","Amount","Fund No.",$C$4,"Budget Plan No.",PYPLAN_FILTER,"G/L Account No.",$E448,"Department Code",Dept_Filter,"Transaction Type","Budget")</t>
  </si>
  <si>
    <t>=NL("Sum","Version LIne Worksheet","Amount","Fund No.",$C$4,"Plan No.",Plan_Filter,"G/L Account No.",$E448,"Department Code",Dept_Filter)</t>
  </si>
  <si>
    <t>=K448-I448</t>
  </si>
  <si>
    <t>=IF(I448=0,0,1)</t>
  </si>
  <si>
    <t>=IF(K448=0,0,1)</t>
  </si>
  <si>
    <t>=P448+Q448</t>
  </si>
  <si>
    <t>=IF(R449=0,"HIDE","SHOW")</t>
  </si>
  <si>
    <t>="""Mission ERP"",""GBRA"",""15"",""1"",""53105"""</t>
  </si>
  <si>
    <t>=NF(D449,"No.")</t>
  </si>
  <si>
    <t>=NF(D449,"Name")</t>
  </si>
  <si>
    <t>=NL("Sum","G/L Entry","Amount","Fund No.",$C$4,"Budget Plan No.",PYPLAN_FILTER,"G/L Account No.",$E449,"Department Code",Dept_Filter,"Transaction Type","Budget")</t>
  </si>
  <si>
    <t>=NL("Sum","Version LIne Worksheet","Amount","Fund No.",$C$4,"Plan No.",Plan_Filter,"G/L Account No.",$E449,"Department Code",Dept_Filter)</t>
  </si>
  <si>
    <t>=K449-I449</t>
  </si>
  <si>
    <t>=IF(I449=0,0,1)</t>
  </si>
  <si>
    <t>=IF(K449=0,0,1)</t>
  </si>
  <si>
    <t>=P449+Q449</t>
  </si>
  <si>
    <t>=IF(R450=0,"HIDE","SHOW")</t>
  </si>
  <si>
    <t>="""Mission ERP"",""GBRA"",""15"",""1"",""53110"""</t>
  </si>
  <si>
    <t>=NF(D450,"No.")</t>
  </si>
  <si>
    <t>=NF(D450,"Name")</t>
  </si>
  <si>
    <t>=NL("Sum","G/L Entry","Amount","Fund No.",$C$4,"Budget Plan No.",PYPLAN_FILTER,"G/L Account No.",$E450,"Department Code",Dept_Filter,"Transaction Type","Budget")</t>
  </si>
  <si>
    <t>=NL("Sum","Version LIne Worksheet","Amount","Fund No.",$C$4,"Plan No.",Plan_Filter,"G/L Account No.",$E450,"Department Code",Dept_Filter)</t>
  </si>
  <si>
    <t>=K450-I450</t>
  </si>
  <si>
    <t>=IF(I450=0,0,1)</t>
  </si>
  <si>
    <t>=IF(K450=0,0,1)</t>
  </si>
  <si>
    <t>=P450+Q450</t>
  </si>
  <si>
    <t>=IF(R451=0,"HIDE","SHOW")</t>
  </si>
  <si>
    <t>="""Mission ERP"",""GBRA"",""15"",""1"",""53115"""</t>
  </si>
  <si>
    <t>=NF(D451,"No.")</t>
  </si>
  <si>
    <t>=NF(D451,"Name")</t>
  </si>
  <si>
    <t>=NL("Sum","G/L Entry","Amount","Fund No.",$C$4,"Budget Plan No.",PYPLAN_FILTER,"G/L Account No.",$E451,"Department Code",Dept_Filter,"Transaction Type","Budget")</t>
  </si>
  <si>
    <t>=NL("Sum","Version LIne Worksheet","Amount","Fund No.",$C$4,"Plan No.",Plan_Filter,"G/L Account No.",$E451,"Department Code",Dept_Filter)</t>
  </si>
  <si>
    <t>=K451-I451</t>
  </si>
  <si>
    <t>=IF(I451=0,0,1)</t>
  </si>
  <si>
    <t>=IF(K451=0,0,1)</t>
  </si>
  <si>
    <t>=P451+Q451</t>
  </si>
  <si>
    <t>=IF(R452=0,"HIDE","SHOW")</t>
  </si>
  <si>
    <t>="""Mission ERP"",""GBRA"",""15"",""1"",""53120"""</t>
  </si>
  <si>
    <t>=NF(D452,"No.")</t>
  </si>
  <si>
    <t>=NF(D452,"Name")</t>
  </si>
  <si>
    <t>=NL("Sum","G/L Entry","Amount","Fund No.",$C$4,"Budget Plan No.",PYPLAN_FILTER,"G/L Account No.",$E452,"Department Code",Dept_Filter,"Transaction Type","Budget")</t>
  </si>
  <si>
    <t>=NL("Sum","Version LIne Worksheet","Amount","Fund No.",$C$4,"Plan No.",Plan_Filter,"G/L Account No.",$E452,"Department Code",Dept_Filter)</t>
  </si>
  <si>
    <t>=K452-I452</t>
  </si>
  <si>
    <t>=IF(I452=0,0,1)</t>
  </si>
  <si>
    <t>=IF(K452=0,0,1)</t>
  </si>
  <si>
    <t>=P452+Q452</t>
  </si>
  <si>
    <t>=IF(R453=0,"HIDE","SHOW")</t>
  </si>
  <si>
    <t>="""Mission ERP"",""GBRA"",""15"",""1"",""53130"""</t>
  </si>
  <si>
    <t>=NF(D453,"No.")</t>
  </si>
  <si>
    <t>=NF(D453,"Name")</t>
  </si>
  <si>
    <t>=NL("Sum","G/L Entry","Amount","Fund No.",$C$4,"Budget Plan No.",PYPLAN_FILTER,"G/L Account No.",$E453,"Department Code",Dept_Filter,"Transaction Type","Budget")</t>
  </si>
  <si>
    <t>=NL("Sum","Version LIne Worksheet","Amount","Fund No.",$C$4,"Plan No.",Plan_Filter,"G/L Account No.",$E453,"Department Code",Dept_Filter)</t>
  </si>
  <si>
    <t>=K453-I453</t>
  </si>
  <si>
    <t>=IF(I453=0,0,1)</t>
  </si>
  <si>
    <t>=IF(K453=0,0,1)</t>
  </si>
  <si>
    <t>=P453+Q453</t>
  </si>
  <si>
    <t>=IF(R455=0,"HIDE","SHOW")</t>
  </si>
  <si>
    <t>=CONCATENATE("Total ",F447)</t>
  </si>
  <si>
    <t>=SUM(I448:I454)</t>
  </si>
  <si>
    <t>=SUM(K448:K454)</t>
  </si>
  <si>
    <t>=K455-I455</t>
  </si>
  <si>
    <t>=IF(I455=0,0,1)</t>
  </si>
  <si>
    <t>=IF(K455=0,0,1)</t>
  </si>
  <si>
    <t>=P455+Q455</t>
  </si>
  <si>
    <t>=B475</t>
  </si>
  <si>
    <t>=NL("First","G/L Account","Name","No.",C457)</t>
  </si>
  <si>
    <t>=IF(R458=0,"HIDE","SHOW")</t>
  </si>
  <si>
    <t>=NL("Rows","G/L Account",,"No.",C458)</t>
  </si>
  <si>
    <t>=NF(D458,"No.")</t>
  </si>
  <si>
    <t>=NF(D458,"Name")</t>
  </si>
  <si>
    <t>=NL("Sum","G/L Entry","Amount","Fund No.",$C$4,"Budget Plan No.",PYPLAN_FILTER,"G/L Account No.",$E458,"Department Code",Dept_Filter,"Transaction Type","Budget")</t>
  </si>
  <si>
    <t>=NL("Sum","Version LIne Worksheet","Amount","Fund No.",$C$4,"Plan No.",Plan_Filter,"G/L Account No.",$E458,"Department Code",Dept_Filter)</t>
  </si>
  <si>
    <t>=K458-I458</t>
  </si>
  <si>
    <t>=IF(I458=0,0,1)</t>
  </si>
  <si>
    <t>=IF(K458=0,0,1)</t>
  </si>
  <si>
    <t>=P458+Q458</t>
  </si>
  <si>
    <t>=IF(R459=0,"HIDE","SHOW")</t>
  </si>
  <si>
    <t>="""Mission ERP"",""GBRA"",""15"",""1"",""53202"""</t>
  </si>
  <si>
    <t>=NF(D459,"No.")</t>
  </si>
  <si>
    <t>=NF(D459,"Name")</t>
  </si>
  <si>
    <t>=NL("Sum","G/L Entry","Amount","Fund No.",$C$4,"Budget Plan No.",PYPLAN_FILTER,"G/L Account No.",$E459,"Department Code",Dept_Filter,"Transaction Type","Budget")</t>
  </si>
  <si>
    <t>=NL("Sum","Version LIne Worksheet","Amount","Fund No.",$C$4,"Plan No.",Plan_Filter,"G/L Account No.",$E459,"Department Code",Dept_Filter)</t>
  </si>
  <si>
    <t>=K459-I459</t>
  </si>
  <si>
    <t>=IF(I459=0,0,1)</t>
  </si>
  <si>
    <t>=IF(K459=0,0,1)</t>
  </si>
  <si>
    <t>=P459+Q459</t>
  </si>
  <si>
    <t>=IF(R460=0,"HIDE","SHOW")</t>
  </si>
  <si>
    <t>="""Mission ERP"",""GBRA"",""15"",""1"",""53205"""</t>
  </si>
  <si>
    <t>=NF(D460,"No.")</t>
  </si>
  <si>
    <t>=NF(D460,"Name")</t>
  </si>
  <si>
    <t>=NL("Sum","G/L Entry","Amount","Fund No.",$C$4,"Budget Plan No.",PYPLAN_FILTER,"G/L Account No.",$E460,"Department Code",Dept_Filter,"Transaction Type","Budget")</t>
  </si>
  <si>
    <t>=NL("Sum","Version LIne Worksheet","Amount","Fund No.",$C$4,"Plan No.",Plan_Filter,"G/L Account No.",$E460,"Department Code",Dept_Filter)</t>
  </si>
  <si>
    <t>=K460-I460</t>
  </si>
  <si>
    <t>=IF(I460=0,0,1)</t>
  </si>
  <si>
    <t>=IF(K460=0,0,1)</t>
  </si>
  <si>
    <t>=P460+Q460</t>
  </si>
  <si>
    <t>=IF(R461=0,"HIDE","SHOW")</t>
  </si>
  <si>
    <t>="""Mission ERP"",""GBRA"",""15"",""1"",""53210"""</t>
  </si>
  <si>
    <t>=NF(D461,"No.")</t>
  </si>
  <si>
    <t>=NF(D461,"Name")</t>
  </si>
  <si>
    <t>=NL("Sum","G/L Entry","Amount","Fund No.",$C$4,"Budget Plan No.",PYPLAN_FILTER,"G/L Account No.",$E461,"Department Code",Dept_Filter,"Transaction Type","Budget")</t>
  </si>
  <si>
    <t>=NL("Sum","Version LIne Worksheet","Amount","Fund No.",$C$4,"Plan No.",Plan_Filter,"G/L Account No.",$E461,"Department Code",Dept_Filter)</t>
  </si>
  <si>
    <t>=K461-I461</t>
  </si>
  <si>
    <t>=IF(I461=0,0,1)</t>
  </si>
  <si>
    <t>=IF(K461=0,0,1)</t>
  </si>
  <si>
    <t>=P461+Q461</t>
  </si>
  <si>
    <t>=IF(R462=0,"HIDE","SHOW")</t>
  </si>
  <si>
    <t>="""Mission ERP"",""GBRA"",""15"",""1"",""53215"""</t>
  </si>
  <si>
    <t>=NF(D462,"No.")</t>
  </si>
  <si>
    <t>=NF(D462,"Name")</t>
  </si>
  <si>
    <t>=NL("Sum","G/L Entry","Amount","Fund No.",$C$4,"Budget Plan No.",PYPLAN_FILTER,"G/L Account No.",$E462,"Department Code",Dept_Filter,"Transaction Type","Budget")</t>
  </si>
  <si>
    <t>=NL("Sum","Version LIne Worksheet","Amount","Fund No.",$C$4,"Plan No.",Plan_Filter,"G/L Account No.",$E462,"Department Code",Dept_Filter)</t>
  </si>
  <si>
    <t>=K462-I462</t>
  </si>
  <si>
    <t>=IF(I462=0,0,1)</t>
  </si>
  <si>
    <t>=IF(K462=0,0,1)</t>
  </si>
  <si>
    <t>=P462+Q462</t>
  </si>
  <si>
    <t>=IF(R463=0,"HIDE","SHOW")</t>
  </si>
  <si>
    <t>="""Mission ERP"",""GBRA"",""15"",""1"",""53216"""</t>
  </si>
  <si>
    <t>=NF(D463,"No.")</t>
  </si>
  <si>
    <t>=NF(D463,"Name")</t>
  </si>
  <si>
    <t>=NL("Sum","G/L Entry","Amount","Fund No.",$C$4,"Budget Plan No.",PYPLAN_FILTER,"G/L Account No.",$E463,"Department Code",Dept_Filter,"Transaction Type","Budget")</t>
  </si>
  <si>
    <t>=NL("Sum","Version LIne Worksheet","Amount","Fund No.",$C$4,"Plan No.",Plan_Filter,"G/L Account No.",$E463,"Department Code",Dept_Filter)</t>
  </si>
  <si>
    <t>=K463-I463</t>
  </si>
  <si>
    <t>=IF(I463=0,0,1)</t>
  </si>
  <si>
    <t>=IF(K463=0,0,1)</t>
  </si>
  <si>
    <t>=P463+Q463</t>
  </si>
  <si>
    <t>=IF(R464=0,"HIDE","SHOW")</t>
  </si>
  <si>
    <t>="""Mission ERP"",""GBRA"",""15"",""1"",""53220"""</t>
  </si>
  <si>
    <t>=NF(D464,"No.")</t>
  </si>
  <si>
    <t>=NF(D464,"Name")</t>
  </si>
  <si>
    <t>=NL("Sum","G/L Entry","Amount","Fund No.",$C$4,"Budget Plan No.",PYPLAN_FILTER,"G/L Account No.",$E464,"Department Code",Dept_Filter,"Transaction Type","Budget")</t>
  </si>
  <si>
    <t>=NL("Sum","Version LIne Worksheet","Amount","Fund No.",$C$4,"Plan No.",Plan_Filter,"G/L Account No.",$E464,"Department Code",Dept_Filter)</t>
  </si>
  <si>
    <t>=K464-I464</t>
  </si>
  <si>
    <t>=IF(I464=0,0,1)</t>
  </si>
  <si>
    <t>=IF(K464=0,0,1)</t>
  </si>
  <si>
    <t>=P464+Q464</t>
  </si>
  <si>
    <t>=IF(R465=0,"HIDE","SHOW")</t>
  </si>
  <si>
    <t>="""Mission ERP"",""GBRA"",""15"",""1"",""53225"""</t>
  </si>
  <si>
    <t>=NF(D465,"No.")</t>
  </si>
  <si>
    <t>=NF(D465,"Name")</t>
  </si>
  <si>
    <t>=NL("Sum","G/L Entry","Amount","Fund No.",$C$4,"Budget Plan No.",PYPLAN_FILTER,"G/L Account No.",$E465,"Department Code",Dept_Filter,"Transaction Type","Budget")</t>
  </si>
  <si>
    <t>=NL("Sum","Version LIne Worksheet","Amount","Fund No.",$C$4,"Plan No.",Plan_Filter,"G/L Account No.",$E465,"Department Code",Dept_Filter)</t>
  </si>
  <si>
    <t>=K465-I465</t>
  </si>
  <si>
    <t>=IF(I465=0,0,1)</t>
  </si>
  <si>
    <t>=IF(K465=0,0,1)</t>
  </si>
  <si>
    <t>=P465+Q465</t>
  </si>
  <si>
    <t>=IF(R466=0,"HIDE","SHOW")</t>
  </si>
  <si>
    <t>="""Mission ERP"",""GBRA"",""15"",""1"",""53230"""</t>
  </si>
  <si>
    <t>=NF(D466,"No.")</t>
  </si>
  <si>
    <t>=NF(D466,"Name")</t>
  </si>
  <si>
    <t>=NL("Sum","G/L Entry","Amount","Fund No.",$C$4,"Budget Plan No.",PYPLAN_FILTER,"G/L Account No.",$E466,"Department Code",Dept_Filter,"Transaction Type","Budget")</t>
  </si>
  <si>
    <t>=NL("Sum","Version LIne Worksheet","Amount","Fund No.",$C$4,"Plan No.",Plan_Filter,"G/L Account No.",$E466,"Department Code",Dept_Filter)</t>
  </si>
  <si>
    <t>=K466-I466</t>
  </si>
  <si>
    <t>=IF(I466=0,0,1)</t>
  </si>
  <si>
    <t>=IF(K466=0,0,1)</t>
  </si>
  <si>
    <t>=P466+Q466</t>
  </si>
  <si>
    <t>=IF(R467=0,"HIDE","SHOW")</t>
  </si>
  <si>
    <t>="""Mission ERP"",""GBRA"",""15"",""1"",""53235"""</t>
  </si>
  <si>
    <t>=NF(D467,"No.")</t>
  </si>
  <si>
    <t>=NF(D467,"Name")</t>
  </si>
  <si>
    <t>=NL("Sum","G/L Entry","Amount","Fund No.",$C$4,"Budget Plan No.",PYPLAN_FILTER,"G/L Account No.",$E467,"Department Code",Dept_Filter,"Transaction Type","Budget")</t>
  </si>
  <si>
    <t>=NL("Sum","Version LIne Worksheet","Amount","Fund No.",$C$4,"Plan No.",Plan_Filter,"G/L Account No.",$E467,"Department Code",Dept_Filter)</t>
  </si>
  <si>
    <t>=K467-I467</t>
  </si>
  <si>
    <t>=IF(I467=0,0,1)</t>
  </si>
  <si>
    <t>=IF(K467=0,0,1)</t>
  </si>
  <si>
    <t>=P467+Q467</t>
  </si>
  <si>
    <t>=IF(R468=0,"HIDE","SHOW")</t>
  </si>
  <si>
    <t>="""Mission ERP"",""GBRA"",""15"",""1"",""53237"""</t>
  </si>
  <si>
    <t>=NF(D468,"No.")</t>
  </si>
  <si>
    <t>=NF(D468,"Name")</t>
  </si>
  <si>
    <t>=NL("Sum","G/L Entry","Amount","Fund No.",$C$4,"Budget Plan No.",PYPLAN_FILTER,"G/L Account No.",$E468,"Department Code",Dept_Filter,"Transaction Type","Budget")</t>
  </si>
  <si>
    <t>=NL("Sum","Version LIne Worksheet","Amount","Fund No.",$C$4,"Plan No.",Plan_Filter,"G/L Account No.",$E468,"Department Code",Dept_Filter)</t>
  </si>
  <si>
    <t>=K468-I468</t>
  </si>
  <si>
    <t>=IF(I468=0,0,1)</t>
  </si>
  <si>
    <t>=IF(K468=0,0,1)</t>
  </si>
  <si>
    <t>=P468+Q468</t>
  </si>
  <si>
    <t>=IF(R469=0,"HIDE","SHOW")</t>
  </si>
  <si>
    <t>="""Mission ERP"",""GBRA"",""15"",""1"",""53238"""</t>
  </si>
  <si>
    <t>=NF(D469,"No.")</t>
  </si>
  <si>
    <t>=NF(D469,"Name")</t>
  </si>
  <si>
    <t>=NL("Sum","G/L Entry","Amount","Fund No.",$C$4,"Budget Plan No.",PYPLAN_FILTER,"G/L Account No.",$E469,"Department Code",Dept_Filter,"Transaction Type","Budget")</t>
  </si>
  <si>
    <t>=NL("Sum","Version LIne Worksheet","Amount","Fund No.",$C$4,"Plan No.",Plan_Filter,"G/L Account No.",$E469,"Department Code",Dept_Filter)</t>
  </si>
  <si>
    <t>=K469-I469</t>
  </si>
  <si>
    <t>=IF(I469=0,0,1)</t>
  </si>
  <si>
    <t>=IF(K469=0,0,1)</t>
  </si>
  <si>
    <t>=P469+Q469</t>
  </si>
  <si>
    <t>=IF(R470=0,"HIDE","SHOW")</t>
  </si>
  <si>
    <t>="""Mission ERP"",""GBRA"",""15"",""1"",""53240"""</t>
  </si>
  <si>
    <t>=NF(D470,"No.")</t>
  </si>
  <si>
    <t>=NF(D470,"Name")</t>
  </si>
  <si>
    <t>=NL("Sum","G/L Entry","Amount","Fund No.",$C$4,"Budget Plan No.",PYPLAN_FILTER,"G/L Account No.",$E470,"Department Code",Dept_Filter,"Transaction Type","Budget")</t>
  </si>
  <si>
    <t>=NL("Sum","Version LIne Worksheet","Amount","Fund No.",$C$4,"Plan No.",Plan_Filter,"G/L Account No.",$E470,"Department Code",Dept_Filter)</t>
  </si>
  <si>
    <t>=K470-I470</t>
  </si>
  <si>
    <t>=IF(I470=0,0,1)</t>
  </si>
  <si>
    <t>=IF(K470=0,0,1)</t>
  </si>
  <si>
    <t>=P470+Q470</t>
  </si>
  <si>
    <t>=IF(R471=0,"HIDE","SHOW")</t>
  </si>
  <si>
    <t>="""Mission ERP"",""GBRA"",""15"",""1"",""53245"""</t>
  </si>
  <si>
    <t>=NF(D471,"No.")</t>
  </si>
  <si>
    <t>=NF(D471,"Name")</t>
  </si>
  <si>
    <t>=NL("Sum","G/L Entry","Amount","Fund No.",$C$4,"Budget Plan No.",PYPLAN_FILTER,"G/L Account No.",$E471,"Department Code",Dept_Filter,"Transaction Type","Budget")</t>
  </si>
  <si>
    <t>=NL("Sum","Version LIne Worksheet","Amount","Fund No.",$C$4,"Plan No.",Plan_Filter,"G/L Account No.",$E471,"Department Code",Dept_Filter)</t>
  </si>
  <si>
    <t>=K471-I471</t>
  </si>
  <si>
    <t>=IF(I471=0,0,1)</t>
  </si>
  <si>
    <t>=IF(K471=0,0,1)</t>
  </si>
  <si>
    <t>=P471+Q471</t>
  </si>
  <si>
    <t>=IF(R472=0,"HIDE","SHOW")</t>
  </si>
  <si>
    <t>="""Mission ERP"",""GBRA"",""15"",""1"",""53250"""</t>
  </si>
  <si>
    <t>=NF(D472,"No.")</t>
  </si>
  <si>
    <t>=NF(D472,"Name")</t>
  </si>
  <si>
    <t>=NL("Sum","G/L Entry","Amount","Fund No.",$C$4,"Budget Plan No.",PYPLAN_FILTER,"G/L Account No.",$E472,"Department Code",Dept_Filter,"Transaction Type","Budget")</t>
  </si>
  <si>
    <t>=NL("Sum","Version LIne Worksheet","Amount","Fund No.",$C$4,"Plan No.",Plan_Filter,"G/L Account No.",$E472,"Department Code",Dept_Filter)</t>
  </si>
  <si>
    <t>=K472-I472</t>
  </si>
  <si>
    <t>=IF(I472=0,0,1)</t>
  </si>
  <si>
    <t>=IF(K472=0,0,1)</t>
  </si>
  <si>
    <t>=P472+Q472</t>
  </si>
  <si>
    <t>=IF(R473=0,"HIDE","SHOW")</t>
  </si>
  <si>
    <t>="""Mission ERP"",""GBRA"",""15"",""1"",""53251"""</t>
  </si>
  <si>
    <t>=NF(D473,"No.")</t>
  </si>
  <si>
    <t>=NF(D473,"Name")</t>
  </si>
  <si>
    <t>=NL("Sum","G/L Entry","Amount","Fund No.",$C$4,"Budget Plan No.",PYPLAN_FILTER,"G/L Account No.",$E473,"Department Code",Dept_Filter,"Transaction Type","Budget")</t>
  </si>
  <si>
    <t>=NL("Sum","Version LIne Worksheet","Amount","Fund No.",$C$4,"Plan No.",Plan_Filter,"G/L Account No.",$E473,"Department Code",Dept_Filter)</t>
  </si>
  <si>
    <t>=K473-I473</t>
  </si>
  <si>
    <t>=IF(I473=0,0,1)</t>
  </si>
  <si>
    <t>=IF(K473=0,0,1)</t>
  </si>
  <si>
    <t>=P473+Q473</t>
  </si>
  <si>
    <t>=IF(R475=0,"HIDE","SHOW")</t>
  </si>
  <si>
    <t>=CONCATENATE("Total ",F457)</t>
  </si>
  <si>
    <t>=SUM(I458:I474)</t>
  </si>
  <si>
    <t>=SUM(K458:K474)</t>
  </si>
  <si>
    <t>=K475-I475</t>
  </si>
  <si>
    <t>=IF(I475=0,0,1)</t>
  </si>
  <si>
    <t>=IF(K475=0,0,1)</t>
  </si>
  <si>
    <t>=P475+Q475</t>
  </si>
  <si>
    <t>=B488</t>
  </si>
  <si>
    <t>=NL("First","G/L Account","Name","No.",C477)</t>
  </si>
  <si>
    <t>=IF(R478=0,"HIDE","SHOW")</t>
  </si>
  <si>
    <t>=NL("Rows","G/L Account",,"No.",C478)</t>
  </si>
  <si>
    <t>=NF(D478,"No.")</t>
  </si>
  <si>
    <t>=NF(D478,"Name")</t>
  </si>
  <si>
    <t>=NL("Sum","G/L Entry","Amount","Fund No.",$C$4,"Budget Plan No.",PYPLAN_FILTER,"G/L Account No.",$E478,"Department Code",Dept_Filter,"Transaction Type","Budget")</t>
  </si>
  <si>
    <t>=NL("Sum","Version LIne Worksheet","Amount","Fund No.",$C$4,"Plan No.",Plan_Filter,"G/L Account No.",$E478,"Department Code",Dept_Filter)</t>
  </si>
  <si>
    <t>=K478-I478</t>
  </si>
  <si>
    <t>=IF(I478=0,0,1)</t>
  </si>
  <si>
    <t>=IF(K478=0,0,1)</t>
  </si>
  <si>
    <t>=P478+Q478</t>
  </si>
  <si>
    <t>=IF(R479=0,"HIDE","SHOW")</t>
  </si>
  <si>
    <t>="""Mission ERP"",""GBRA"",""15"",""1"",""53302"""</t>
  </si>
  <si>
    <t>=NF(D479,"No.")</t>
  </si>
  <si>
    <t>=NF(D479,"Name")</t>
  </si>
  <si>
    <t>=NL("Sum","G/L Entry","Amount","Fund No.",$C$4,"Budget Plan No.",PYPLAN_FILTER,"G/L Account No.",$E479,"Department Code",Dept_Filter,"Transaction Type","Budget")</t>
  </si>
  <si>
    <t>=NL("Sum","Version LIne Worksheet","Amount","Fund No.",$C$4,"Plan No.",Plan_Filter,"G/L Account No.",$E479,"Department Code",Dept_Filter)</t>
  </si>
  <si>
    <t>=K479-I479</t>
  </si>
  <si>
    <t>=IF(I479=0,0,1)</t>
  </si>
  <si>
    <t>=IF(K479=0,0,1)</t>
  </si>
  <si>
    <t>=P479+Q479</t>
  </si>
  <si>
    <t>=IF(R480=0,"HIDE","SHOW")</t>
  </si>
  <si>
    <t>="""Mission ERP"",""GBRA"",""15"",""1"",""53305"""</t>
  </si>
  <si>
    <t>=NF(D480,"No.")</t>
  </si>
  <si>
    <t>=NF(D480,"Name")</t>
  </si>
  <si>
    <t>=NL("Sum","G/L Entry","Amount","Fund No.",$C$4,"Budget Plan No.",PYPLAN_FILTER,"G/L Account No.",$E480,"Department Code",Dept_Filter,"Transaction Type","Budget")</t>
  </si>
  <si>
    <t>=NL("Sum","Version LIne Worksheet","Amount","Fund No.",$C$4,"Plan No.",Plan_Filter,"G/L Account No.",$E480,"Department Code",Dept_Filter)</t>
  </si>
  <si>
    <t>=K480-I480</t>
  </si>
  <si>
    <t>=IF(I480=0,0,1)</t>
  </si>
  <si>
    <t>=IF(K480=0,0,1)</t>
  </si>
  <si>
    <t>=P480+Q480</t>
  </si>
  <si>
    <t>=IF(R481=0,"HIDE","SHOW")</t>
  </si>
  <si>
    <t>="""Mission ERP"",""GBRA"",""15"",""1"",""53310"""</t>
  </si>
  <si>
    <t>=NF(D481,"No.")</t>
  </si>
  <si>
    <t>=NF(D481,"Name")</t>
  </si>
  <si>
    <t>=NL("Sum","G/L Entry","Amount","Fund No.",$C$4,"Budget Plan No.",PYPLAN_FILTER,"G/L Account No.",$E481,"Department Code",Dept_Filter,"Transaction Type","Budget")</t>
  </si>
  <si>
    <t>=NL("Sum","Version LIne Worksheet","Amount","Fund No.",$C$4,"Plan No.",Plan_Filter,"G/L Account No.",$E481,"Department Code",Dept_Filter)</t>
  </si>
  <si>
    <t>=K481-I481</t>
  </si>
  <si>
    <t>=IF(I481=0,0,1)</t>
  </si>
  <si>
    <t>=IF(K481=0,0,1)</t>
  </si>
  <si>
    <t>=P481+Q481</t>
  </si>
  <si>
    <t>=IF(R482=0,"HIDE","SHOW")</t>
  </si>
  <si>
    <t>="""Mission ERP"",""GBRA"",""15"",""1"",""53315"""</t>
  </si>
  <si>
    <t>=NF(D482,"No.")</t>
  </si>
  <si>
    <t>=NF(D482,"Name")</t>
  </si>
  <si>
    <t>=NL("Sum","G/L Entry","Amount","Fund No.",$C$4,"Budget Plan No.",PYPLAN_FILTER,"G/L Account No.",$E482,"Department Code",Dept_Filter,"Transaction Type","Budget")</t>
  </si>
  <si>
    <t>=NL("Sum","Version LIne Worksheet","Amount","Fund No.",$C$4,"Plan No.",Plan_Filter,"G/L Account No.",$E482,"Department Code",Dept_Filter)</t>
  </si>
  <si>
    <t>=K482-I482</t>
  </si>
  <si>
    <t>=IF(I482=0,0,1)</t>
  </si>
  <si>
    <t>=IF(K482=0,0,1)</t>
  </si>
  <si>
    <t>=P482+Q482</t>
  </si>
  <si>
    <t>=IF(R483=0,"HIDE","SHOW")</t>
  </si>
  <si>
    <t>="""Mission ERP"",""GBRA"",""15"",""1"",""53320"""</t>
  </si>
  <si>
    <t>=NF(D483,"No.")</t>
  </si>
  <si>
    <t>=NF(D483,"Name")</t>
  </si>
  <si>
    <t>=NL("Sum","G/L Entry","Amount","Fund No.",$C$4,"Budget Plan No.",PYPLAN_FILTER,"G/L Account No.",$E483,"Department Code",Dept_Filter,"Transaction Type","Budget")</t>
  </si>
  <si>
    <t>=NL("Sum","Version LIne Worksheet","Amount","Fund No.",$C$4,"Plan No.",Plan_Filter,"G/L Account No.",$E483,"Department Code",Dept_Filter)</t>
  </si>
  <si>
    <t>=K483-I483</t>
  </si>
  <si>
    <t>=IF(I483=0,0,1)</t>
  </si>
  <si>
    <t>=IF(K483=0,0,1)</t>
  </si>
  <si>
    <t>=P483+Q483</t>
  </si>
  <si>
    <t>=IF(R484=0,"HIDE","SHOW")</t>
  </si>
  <si>
    <t>="""Mission ERP"",""GBRA"",""15"",""1"",""53324"""</t>
  </si>
  <si>
    <t>=NF(D484,"No.")</t>
  </si>
  <si>
    <t>=NF(D484,"Name")</t>
  </si>
  <si>
    <t>=NL("Sum","G/L Entry","Amount","Fund No.",$C$4,"Budget Plan No.",PYPLAN_FILTER,"G/L Account No.",$E484,"Department Code",Dept_Filter,"Transaction Type","Budget")</t>
  </si>
  <si>
    <t>=NL("Sum","Version LIne Worksheet","Amount","Fund No.",$C$4,"Plan No.",Plan_Filter,"G/L Account No.",$E484,"Department Code",Dept_Filter)</t>
  </si>
  <si>
    <t>=K484-I484</t>
  </si>
  <si>
    <t>=IF(I484=0,0,1)</t>
  </si>
  <si>
    <t>=IF(K484=0,0,1)</t>
  </si>
  <si>
    <t>=P484+Q484</t>
  </si>
  <si>
    <t>=IF(R485=0,"HIDE","SHOW")</t>
  </si>
  <si>
    <t>="""Mission ERP"",""GBRA"",""15"",""1"",""53325"""</t>
  </si>
  <si>
    <t>=NF(D485,"No.")</t>
  </si>
  <si>
    <t>=NF(D485,"Name")</t>
  </si>
  <si>
    <t>=NL("Sum","G/L Entry","Amount","Fund No.",$C$4,"Budget Plan No.",PYPLAN_FILTER,"G/L Account No.",$E485,"Department Code",Dept_Filter,"Transaction Type","Budget")</t>
  </si>
  <si>
    <t>=NL("Sum","Version LIne Worksheet","Amount","Fund No.",$C$4,"Plan No.",Plan_Filter,"G/L Account No.",$E485,"Department Code",Dept_Filter)</t>
  </si>
  <si>
    <t>=K485-I485</t>
  </si>
  <si>
    <t>=IF(I485=0,0,1)</t>
  </si>
  <si>
    <t>=IF(K485=0,0,1)</t>
  </si>
  <si>
    <t>=P485+Q485</t>
  </si>
  <si>
    <t>=IF(R486=0,"HIDE","SHOW")</t>
  </si>
  <si>
    <t>="""Mission ERP"",""GBRA"",""15"",""1"",""53399"""</t>
  </si>
  <si>
    <t>=NF(D486,"No.")</t>
  </si>
  <si>
    <t>=NF(D486,"Name")</t>
  </si>
  <si>
    <t>=NL("Sum","G/L Entry","Amount","Fund No.",$C$4,"Budget Plan No.",PYPLAN_FILTER,"G/L Account No.",$E486,"Department Code",Dept_Filter,"Transaction Type","Budget")</t>
  </si>
  <si>
    <t>=NL("Sum","Version LIne Worksheet","Amount","Fund No.",$C$4,"Plan No.",Plan_Filter,"G/L Account No.",$E486,"Department Code",Dept_Filter)</t>
  </si>
  <si>
    <t>=K486-I486</t>
  </si>
  <si>
    <t>=IF(I486=0,0,1)</t>
  </si>
  <si>
    <t>=IF(K486=0,0,1)</t>
  </si>
  <si>
    <t>=P486+Q486</t>
  </si>
  <si>
    <t>=IF(R488=0,"HIDE","SHOW")</t>
  </si>
  <si>
    <t>=CONCATENATE("Total ",F477)</t>
  </si>
  <si>
    <t>=SUM(I478:I487)</t>
  </si>
  <si>
    <t>=SUM(K478:K487)</t>
  </si>
  <si>
    <t>=K488-I488</t>
  </si>
  <si>
    <t>=IF(I488=0,0,1)</t>
  </si>
  <si>
    <t>=IF(K488=0,0,1)</t>
  </si>
  <si>
    <t>=P488+Q488</t>
  </si>
  <si>
    <t>=IF(R490=0,"HIDE","SHOW")</t>
  </si>
  <si>
    <t>=I488+I475+I455</t>
  </si>
  <si>
    <t>=K488+K475+K455</t>
  </si>
  <si>
    <t>=K490-I490</t>
  </si>
  <si>
    <t>=IF(I490=0,0,1)</t>
  </si>
  <si>
    <t>=IF(K490=0,0,1)</t>
  </si>
  <si>
    <t>=P490+Q490</t>
  </si>
  <si>
    <t>=B495</t>
  </si>
  <si>
    <t>=NL("First","G/L Account","Name","No.",C492)</t>
  </si>
  <si>
    <t>=IF(R493=0,"HIDE","SHOW")</t>
  </si>
  <si>
    <t>=NL("Rows","G/L Account",,"No.",C493)</t>
  </si>
  <si>
    <t>=NF(D493,"No.")</t>
  </si>
  <si>
    <t>=NF(D493,"Name")</t>
  </si>
  <si>
    <t>=NL("Sum","G/L Entry","Amount","Fund No.",$C$4,"Budget Plan No.",PYPLAN_FILTER,"G/L Account No.",$E493,"Department Code",Dept_Filter,"Transaction Type","Budget")</t>
  </si>
  <si>
    <t>=NL("Sum","Version LIne Worksheet","Amount","Fund No.",$C$4,"Plan No.",Plan_Filter,"G/L Account No.",$E493,"Department Code",Dept_Filter)</t>
  </si>
  <si>
    <t>=K493-I493</t>
  </si>
  <si>
    <t>=IF(I493=0,0,1)</t>
  </si>
  <si>
    <t>=IF(K493=0,0,1)</t>
  </si>
  <si>
    <t>=P493+Q493</t>
  </si>
  <si>
    <t>=IF(R495=0,"HIDE","SHOW")</t>
  </si>
  <si>
    <t>=CONCATENATE("Total ",F492)</t>
  </si>
  <si>
    <t>=SUM(I493:I494)</t>
  </si>
  <si>
    <t>=SUM(K493:K494)</t>
  </si>
  <si>
    <t>=K495-I495</t>
  </si>
  <si>
    <t>=IF(I495=0,0,1)</t>
  </si>
  <si>
    <t>=IF(K495=0,0,1)</t>
  </si>
  <si>
    <t>=P495+Q495</t>
  </si>
  <si>
    <t>=B501</t>
  </si>
  <si>
    <t>=NL("First","G/L Account","Name","No.",C497)</t>
  </si>
  <si>
    <t>=IF(R498=0,"HIDE","SHOW")</t>
  </si>
  <si>
    <t>=NL("Rows","G/L Account",,"No.",C498)</t>
  </si>
  <si>
    <t>=NF(D498,"No.")</t>
  </si>
  <si>
    <t>=NF(D498,"Name")</t>
  </si>
  <si>
    <t>=NL("Sum","G/L Entry","Amount","Fund No.",$C$4,"Budget Plan No.",PYPLAN_FILTER,"G/L Account No.",$E498,"Department Code",Dept_Filter,"Transaction Type","Budget")</t>
  </si>
  <si>
    <t>=NL("Sum","Version LIne Worksheet","Amount","Fund No.",$C$4,"Plan No.",Plan_Filter,"G/L Account No.",$E498,"Department Code",Dept_Filter)</t>
  </si>
  <si>
    <t>=K498-I498</t>
  </si>
  <si>
    <t>=IF(I498=0,0,1)</t>
  </si>
  <si>
    <t>=IF(K498=0,0,1)</t>
  </si>
  <si>
    <t>=P498+Q498</t>
  </si>
  <si>
    <t>=IF(R499=0,"HIDE","SHOW")</t>
  </si>
  <si>
    <t>="""Mission ERP"",""GBRA"",""15"",""1"",""55002"""</t>
  </si>
  <si>
    <t>=NF(D499,"No.")</t>
  </si>
  <si>
    <t>=NF(D499,"Name")</t>
  </si>
  <si>
    <t>=NL("Sum","G/L Entry","Amount","Fund No.",$C$4,"Budget Plan No.",PYPLAN_FILTER,"G/L Account No.",$E499,"Department Code",Dept_Filter,"Transaction Type","Budget")</t>
  </si>
  <si>
    <t>=NL("Sum","Version LIne Worksheet","Amount","Fund No.",$C$4,"Plan No.",Plan_Filter,"G/L Account No.",$E499,"Department Code",Dept_Filter)</t>
  </si>
  <si>
    <t>=K499-I499</t>
  </si>
  <si>
    <t>=IF(I499=0,0,1)</t>
  </si>
  <si>
    <t>=IF(K499=0,0,1)</t>
  </si>
  <si>
    <t>=P499+Q499</t>
  </si>
  <si>
    <t>=IF(R501=0,"HIDE","SHOW")</t>
  </si>
  <si>
    <t>=CONCATENATE("Total ",F497)</t>
  </si>
  <si>
    <t>=SUM(I498:I500)</t>
  </si>
  <si>
    <t>=SUM(K498:K500)</t>
  </si>
  <si>
    <t>=K501-I501</t>
  </si>
  <si>
    <t>=IF(I501=0,0,1)</t>
  </si>
  <si>
    <t>=IF(K501=0,0,1)</t>
  </si>
  <si>
    <t>=P501+Q501</t>
  </si>
  <si>
    <t>=B507</t>
  </si>
  <si>
    <t>=NL("First","G/L Account","Name","No.",C503)</t>
  </si>
  <si>
    <t>=IF(R504=0,"HIDE","SHOW")</t>
  </si>
  <si>
    <t>=NL("Rows","G/L Account",,"No.",C504)</t>
  </si>
  <si>
    <t>=NF(D504,"No.")</t>
  </si>
  <si>
    <t>=NF(D504,"Name")</t>
  </si>
  <si>
    <t>=NL("Sum","G/L Entry","Amount","Fund No.",$C$4,"Budget Plan No.",PYPLAN_FILTER,"G/L Account No.",$E504,"Department Code",Dept_Filter,"Transaction Type","Budget")</t>
  </si>
  <si>
    <t>=NL("Sum","Version LIne Worksheet","Amount","Fund No.",$C$4,"Plan No.",Plan_Filter,"G/L Account No.",$E504,"Department Code",Dept_Filter)</t>
  </si>
  <si>
    <t>=K504-I504</t>
  </si>
  <si>
    <t>=IF(I504=0,0,1)</t>
  </si>
  <si>
    <t>=IF(K504=0,0,1)</t>
  </si>
  <si>
    <t>=P504+Q504</t>
  </si>
  <si>
    <t>=IF(R505=0,"HIDE","SHOW")</t>
  </si>
  <si>
    <t>="""Mission ERP"",""GBRA"",""15"",""1"",""56198"""</t>
  </si>
  <si>
    <t>=NF(D505,"No.")</t>
  </si>
  <si>
    <t>=NF(D505,"Name")</t>
  </si>
  <si>
    <t>=NL("Sum","G/L Entry","Amount","Fund No.",$C$4,"Budget Plan No.",PYPLAN_FILTER,"G/L Account No.",$E505,"Department Code",Dept_Filter,"Transaction Type","Budget")</t>
  </si>
  <si>
    <t>=NL("Sum","Version LIne Worksheet","Amount","Fund No.",$C$4,"Plan No.",Plan_Filter,"G/L Account No.",$E505,"Department Code",Dept_Filter)</t>
  </si>
  <si>
    <t>=K505-I505</t>
  </si>
  <si>
    <t>=IF(I505=0,0,1)</t>
  </si>
  <si>
    <t>=IF(K505=0,0,1)</t>
  </si>
  <si>
    <t>=P505+Q505</t>
  </si>
  <si>
    <t>=IF(R507=0,"HIDE","SHOW")</t>
  </si>
  <si>
    <t>=CONCATENATE("Total ",F503)</t>
  </si>
  <si>
    <t>=SUM(I504:I506)</t>
  </si>
  <si>
    <t>=SUM(K504:K506)</t>
  </si>
  <si>
    <t>=K507-I507</t>
  </si>
  <si>
    <t>=IF(I507=0,0,1)</t>
  </si>
  <si>
    <t>=IF(K507=0,0,1)</t>
  </si>
  <si>
    <t>=P507+Q507</t>
  </si>
  <si>
    <t>=B532</t>
  </si>
  <si>
    <t>=NL("First","G/L Account","Name","No.",C509)</t>
  </si>
  <si>
    <t>=IF(R510=0,"HIDE","SHOW")</t>
  </si>
  <si>
    <t>=NL("Rows","G/L Account",,"No.",C510)</t>
  </si>
  <si>
    <t>=NF(D510,"No.")</t>
  </si>
  <si>
    <t>=NF(D510,"Name")</t>
  </si>
  <si>
    <t>=NL("Sum","G/L Entry","Amount","Fund No.",$C$4,"Budget Plan No.",PYPLAN_FILTER,"G/L Account No.",$E510,"Department Code",Dept_Filter,"Transaction Type","Budget")</t>
  </si>
  <si>
    <t>=NL("Sum","Version LIne Worksheet","Amount","Fund No.",$C$4,"Plan No.",Plan_Filter,"G/L Account No.",$E510,"Department Code",Dept_Filter)</t>
  </si>
  <si>
    <t>=K510-I510</t>
  </si>
  <si>
    <t>=IF(I510=0,0,1)</t>
  </si>
  <si>
    <t>=IF(K510=0,0,1)</t>
  </si>
  <si>
    <t>=P510+Q510</t>
  </si>
  <si>
    <t>=IF(R511=0,"HIDE","SHOW")</t>
  </si>
  <si>
    <t>="""Mission ERP"",""GBRA"",""15"",""1"",""13202"""</t>
  </si>
  <si>
    <t>=NF(D511,"No.")</t>
  </si>
  <si>
    <t>=NF(D511,"Name")</t>
  </si>
  <si>
    <t>=NL("Sum","G/L Entry","Amount","Fund No.",$C$4,"Budget Plan No.",PYPLAN_FILTER,"G/L Account No.",$E511,"Department Code",Dept_Filter,"Transaction Type","Budget")</t>
  </si>
  <si>
    <t>=NL("Sum","Version LIne Worksheet","Amount","Fund No.",$C$4,"Plan No.",Plan_Filter,"G/L Account No.",$E511,"Department Code",Dept_Filter)</t>
  </si>
  <si>
    <t>=K511-I511</t>
  </si>
  <si>
    <t>=IF(I511=0,0,1)</t>
  </si>
  <si>
    <t>=IF(K511=0,0,1)</t>
  </si>
  <si>
    <t>=P511+Q511</t>
  </si>
  <si>
    <t>=IF(R512=0,"HIDE","SHOW")</t>
  </si>
  <si>
    <t>="""Mission ERP"",""GBRA"",""15"",""1"",""13203"""</t>
  </si>
  <si>
    <t>=NF(D512,"No.")</t>
  </si>
  <si>
    <t>=NF(D512,"Name")</t>
  </si>
  <si>
    <t>=NL("Sum","G/L Entry","Amount","Fund No.",$C$4,"Budget Plan No.",PYPLAN_FILTER,"G/L Account No.",$E512,"Department Code",Dept_Filter,"Transaction Type","Budget")</t>
  </si>
  <si>
    <t>=NL("Sum","Version LIne Worksheet","Amount","Fund No.",$C$4,"Plan No.",Plan_Filter,"G/L Account No.",$E512,"Department Code",Dept_Filter)</t>
  </si>
  <si>
    <t>=K512-I512</t>
  </si>
  <si>
    <t>=IF(I512=0,0,1)</t>
  </si>
  <si>
    <t>=IF(K512=0,0,1)</t>
  </si>
  <si>
    <t>=P512+Q512</t>
  </si>
  <si>
    <t>=IF(R513=0,"HIDE","SHOW")</t>
  </si>
  <si>
    <t>="""Mission ERP"",""GBRA"",""15"",""1"",""13204"""</t>
  </si>
  <si>
    <t>=NF(D513,"No.")</t>
  </si>
  <si>
    <t>=NF(D513,"Name")</t>
  </si>
  <si>
    <t>=NL("Sum","G/L Entry","Amount","Fund No.",$C$4,"Budget Plan No.",PYPLAN_FILTER,"G/L Account No.",$E513,"Department Code",Dept_Filter,"Transaction Type","Budget")</t>
  </si>
  <si>
    <t>=NL("Sum","Version LIne Worksheet","Amount","Fund No.",$C$4,"Plan No.",Plan_Filter,"G/L Account No.",$E513,"Department Code",Dept_Filter)</t>
  </si>
  <si>
    <t>=K513-I513</t>
  </si>
  <si>
    <t>=IF(I513=0,0,1)</t>
  </si>
  <si>
    <t>=IF(K513=0,0,1)</t>
  </si>
  <si>
    <t>=P513+Q513</t>
  </si>
  <si>
    <t>=IF(R514=0,"HIDE","SHOW")</t>
  </si>
  <si>
    <t>="""Mission ERP"",""GBRA"",""15"",""1"",""13205"""</t>
  </si>
  <si>
    <t>=NF(D514,"No.")</t>
  </si>
  <si>
    <t>=NF(D514,"Name")</t>
  </si>
  <si>
    <t>=NL("Sum","G/L Entry","Amount","Fund No.",$C$4,"Budget Plan No.",PYPLAN_FILTER,"G/L Account No.",$E514,"Department Code",Dept_Filter,"Transaction Type","Budget")</t>
  </si>
  <si>
    <t>=NL("Sum","Version LIne Worksheet","Amount","Fund No.",$C$4,"Plan No.",Plan_Filter,"G/L Account No.",$E514,"Department Code",Dept_Filter)</t>
  </si>
  <si>
    <t>=K514-I514</t>
  </si>
  <si>
    <t>=IF(I514=0,0,1)</t>
  </si>
  <si>
    <t>=IF(K514=0,0,1)</t>
  </si>
  <si>
    <t>=P514+Q514</t>
  </si>
  <si>
    <t>=IF(R515=0,"HIDE","SHOW")</t>
  </si>
  <si>
    <t>="""Mission ERP"",""GBRA"",""15"",""1"",""13206"""</t>
  </si>
  <si>
    <t>=NF(D515,"No.")</t>
  </si>
  <si>
    <t>=NF(D515,"Name")</t>
  </si>
  <si>
    <t>=NL("Sum","G/L Entry","Amount","Fund No.",$C$4,"Budget Plan No.",PYPLAN_FILTER,"G/L Account No.",$E515,"Department Code",Dept_Filter,"Transaction Type","Budget")</t>
  </si>
  <si>
    <t>=NL("Sum","Version LIne Worksheet","Amount","Fund No.",$C$4,"Plan No.",Plan_Filter,"G/L Account No.",$E515,"Department Code",Dept_Filter)</t>
  </si>
  <si>
    <t>=K515-I515</t>
  </si>
  <si>
    <t>=IF(I515=0,0,1)</t>
  </si>
  <si>
    <t>=IF(K515=0,0,1)</t>
  </si>
  <si>
    <t>=P515+Q515</t>
  </si>
  <si>
    <t>=IF(R516=0,"HIDE","SHOW")</t>
  </si>
  <si>
    <t>="""Mission ERP"",""GBRA"",""15"",""1"",""13207"""</t>
  </si>
  <si>
    <t>=NF(D516,"No.")</t>
  </si>
  <si>
    <t>=NF(D516,"Name")</t>
  </si>
  <si>
    <t>=NL("Sum","G/L Entry","Amount","Fund No.",$C$4,"Budget Plan No.",PYPLAN_FILTER,"G/L Account No.",$E516,"Department Code",Dept_Filter,"Transaction Type","Budget")</t>
  </si>
  <si>
    <t>=NL("Sum","Version LIne Worksheet","Amount","Fund No.",$C$4,"Plan No.",Plan_Filter,"G/L Account No.",$E516,"Department Code",Dept_Filter)</t>
  </si>
  <si>
    <t>=K516-I516</t>
  </si>
  <si>
    <t>=IF(I516=0,0,1)</t>
  </si>
  <si>
    <t>=IF(K516=0,0,1)</t>
  </si>
  <si>
    <t>=P516+Q516</t>
  </si>
  <si>
    <t>=IF(R517=0,"HIDE","SHOW")</t>
  </si>
  <si>
    <t>="""Mission ERP"",""GBRA"",""15"",""1"",""13208"""</t>
  </si>
  <si>
    <t>=NF(D517,"No.")</t>
  </si>
  <si>
    <t>=NF(D517,"Name")</t>
  </si>
  <si>
    <t>=NL("Sum","G/L Entry","Amount","Fund No.",$C$4,"Budget Plan No.",PYPLAN_FILTER,"G/L Account No.",$E517,"Department Code",Dept_Filter,"Transaction Type","Budget")</t>
  </si>
  <si>
    <t>=NL("Sum","Version LIne Worksheet","Amount","Fund No.",$C$4,"Plan No.",Plan_Filter,"G/L Account No.",$E517,"Department Code",Dept_Filter)</t>
  </si>
  <si>
    <t>=K517-I517</t>
  </si>
  <si>
    <t>=IF(I517=0,0,1)</t>
  </si>
  <si>
    <t>=IF(K517=0,0,1)</t>
  </si>
  <si>
    <t>=P517+Q517</t>
  </si>
  <si>
    <t>=IF(R518=0,"HIDE","SHOW")</t>
  </si>
  <si>
    <t>="""Mission ERP"",""GBRA"",""15"",""1"",""13209"""</t>
  </si>
  <si>
    <t>=NF(D518,"No.")</t>
  </si>
  <si>
    <t>=NF(D518,"Name")</t>
  </si>
  <si>
    <t>=NL("Sum","G/L Entry","Amount","Fund No.",$C$4,"Budget Plan No.",PYPLAN_FILTER,"G/L Account No.",$E518,"Department Code",Dept_Filter,"Transaction Type","Budget")</t>
  </si>
  <si>
    <t>=NL("Sum","Version LIne Worksheet","Amount","Fund No.",$C$4,"Plan No.",Plan_Filter,"G/L Account No.",$E518,"Department Code",Dept_Filter)</t>
  </si>
  <si>
    <t>=K518-I518</t>
  </si>
  <si>
    <t>=IF(I518=0,0,1)</t>
  </si>
  <si>
    <t>=IF(K518=0,0,1)</t>
  </si>
  <si>
    <t>=P518+Q518</t>
  </si>
  <si>
    <t>=IF(R519=0,"HIDE","SHOW")</t>
  </si>
  <si>
    <t>="""Mission ERP"",""GBRA"",""15"",""1"",""13210"""</t>
  </si>
  <si>
    <t>=NF(D519,"No.")</t>
  </si>
  <si>
    <t>=NF(D519,"Name")</t>
  </si>
  <si>
    <t>=NL("Sum","G/L Entry","Amount","Fund No.",$C$4,"Budget Plan No.",PYPLAN_FILTER,"G/L Account No.",$E519,"Department Code",Dept_Filter,"Transaction Type","Budget")</t>
  </si>
  <si>
    <t>=NL("Sum","Version LIne Worksheet","Amount","Fund No.",$C$4,"Plan No.",Plan_Filter,"G/L Account No.",$E519,"Department Code",Dept_Filter)</t>
  </si>
  <si>
    <t>=K519-I519</t>
  </si>
  <si>
    <t>=IF(I519=0,0,1)</t>
  </si>
  <si>
    <t>=IF(K519=0,0,1)</t>
  </si>
  <si>
    <t>=P519+Q519</t>
  </si>
  <si>
    <t>=IF(R520=0,"HIDE","SHOW")</t>
  </si>
  <si>
    <t>="""Mission ERP"",""GBRA"",""15"",""1"",""13211"""</t>
  </si>
  <si>
    <t>=NF(D520,"No.")</t>
  </si>
  <si>
    <t>=NF(D520,"Name")</t>
  </si>
  <si>
    <t>=NL("Sum","G/L Entry","Amount","Fund No.",$C$4,"Budget Plan No.",PYPLAN_FILTER,"G/L Account No.",$E520,"Department Code",Dept_Filter,"Transaction Type","Budget")</t>
  </si>
  <si>
    <t>=NL("Sum","Version LIne Worksheet","Amount","Fund No.",$C$4,"Plan No.",Plan_Filter,"G/L Account No.",$E520,"Department Code",Dept_Filter)</t>
  </si>
  <si>
    <t>=K520-I520</t>
  </si>
  <si>
    <t>=IF(I520=0,0,1)</t>
  </si>
  <si>
    <t>=IF(K520=0,0,1)</t>
  </si>
  <si>
    <t>=P520+Q520</t>
  </si>
  <si>
    <t>=IF(R521=0,"HIDE","SHOW")</t>
  </si>
  <si>
    <t>="""Mission ERP"",""GBRA"",""15"",""1"",""13212"""</t>
  </si>
  <si>
    <t>=NF(D521,"No.")</t>
  </si>
  <si>
    <t>=NF(D521,"Name")</t>
  </si>
  <si>
    <t>=NL("Sum","G/L Entry","Amount","Fund No.",$C$4,"Budget Plan No.",PYPLAN_FILTER,"G/L Account No.",$E521,"Department Code",Dept_Filter,"Transaction Type","Budget")</t>
  </si>
  <si>
    <t>=NL("Sum","Version LIne Worksheet","Amount","Fund No.",$C$4,"Plan No.",Plan_Filter,"G/L Account No.",$E521,"Department Code",Dept_Filter)</t>
  </si>
  <si>
    <t>=K521-I521</t>
  </si>
  <si>
    <t>=IF(I521=0,0,1)</t>
  </si>
  <si>
    <t>=IF(K521=0,0,1)</t>
  </si>
  <si>
    <t>=P521+Q521</t>
  </si>
  <si>
    <t>=IF(R522=0,"HIDE","SHOW")</t>
  </si>
  <si>
    <t>="""Mission ERP"",""GBRA"",""15"",""1"",""13213"""</t>
  </si>
  <si>
    <t>=NF(D522,"No.")</t>
  </si>
  <si>
    <t>=NF(D522,"Name")</t>
  </si>
  <si>
    <t>=NL("Sum","G/L Entry","Amount","Fund No.",$C$4,"Budget Plan No.",PYPLAN_FILTER,"G/L Account No.",$E522,"Department Code",Dept_Filter,"Transaction Type","Budget")</t>
  </si>
  <si>
    <t>=NL("Sum","Version LIne Worksheet","Amount","Fund No.",$C$4,"Plan No.",Plan_Filter,"G/L Account No.",$E522,"Department Code",Dept_Filter)</t>
  </si>
  <si>
    <t>=K522-I522</t>
  </si>
  <si>
    <t>=IF(I522=0,0,1)</t>
  </si>
  <si>
    <t>=IF(K522=0,0,1)</t>
  </si>
  <si>
    <t>=P522+Q522</t>
  </si>
  <si>
    <t>=IF(R523=0,"HIDE","SHOW")</t>
  </si>
  <si>
    <t>="""Mission ERP"",""GBRA"",""15"",""1"",""13214"""</t>
  </si>
  <si>
    <t>=NF(D523,"No.")</t>
  </si>
  <si>
    <t>=NF(D523,"Name")</t>
  </si>
  <si>
    <t>=NL("Sum","G/L Entry","Amount","Fund No.",$C$4,"Budget Plan No.",PYPLAN_FILTER,"G/L Account No.",$E523,"Department Code",Dept_Filter,"Transaction Type","Budget")</t>
  </si>
  <si>
    <t>=NL("Sum","Version LIne Worksheet","Amount","Fund No.",$C$4,"Plan No.",Plan_Filter,"G/L Account No.",$E523,"Department Code",Dept_Filter)</t>
  </si>
  <si>
    <t>=K523-I523</t>
  </si>
  <si>
    <t>=IF(I523=0,0,1)</t>
  </si>
  <si>
    <t>=IF(K523=0,0,1)</t>
  </si>
  <si>
    <t>=P523+Q523</t>
  </si>
  <si>
    <t>=IF(R524=0,"HIDE","SHOW")</t>
  </si>
  <si>
    <t>="""Mission ERP"",""GBRA"",""15"",""1"",""13215"""</t>
  </si>
  <si>
    <t>=NF(D524,"No.")</t>
  </si>
  <si>
    <t>=NF(D524,"Name")</t>
  </si>
  <si>
    <t>=NL("Sum","G/L Entry","Amount","Fund No.",$C$4,"Budget Plan No.",PYPLAN_FILTER,"G/L Account No.",$E524,"Department Code",Dept_Filter,"Transaction Type","Budget")</t>
  </si>
  <si>
    <t>=NL("Sum","Version LIne Worksheet","Amount","Fund No.",$C$4,"Plan No.",Plan_Filter,"G/L Account No.",$E524,"Department Code",Dept_Filter)</t>
  </si>
  <si>
    <t>=K524-I524</t>
  </si>
  <si>
    <t>=IF(I524=0,0,1)</t>
  </si>
  <si>
    <t>=IF(K524=0,0,1)</t>
  </si>
  <si>
    <t>=P524+Q524</t>
  </si>
  <si>
    <t>=IF(R525=0,"HIDE","SHOW")</t>
  </si>
  <si>
    <t>="""Mission ERP"",""GBRA"",""15"",""1"",""13216"""</t>
  </si>
  <si>
    <t>=NF(D525,"No.")</t>
  </si>
  <si>
    <t>=NF(D525,"Name")</t>
  </si>
  <si>
    <t>=NL("Sum","G/L Entry","Amount","Fund No.",$C$4,"Budget Plan No.",PYPLAN_FILTER,"G/L Account No.",$E525,"Department Code",Dept_Filter,"Transaction Type","Budget")</t>
  </si>
  <si>
    <t>=NL("Sum","Version LIne Worksheet","Amount","Fund No.",$C$4,"Plan No.",Plan_Filter,"G/L Account No.",$E525,"Department Code",Dept_Filter)</t>
  </si>
  <si>
    <t>=K525-I525</t>
  </si>
  <si>
    <t>=IF(I525=0,0,1)</t>
  </si>
  <si>
    <t>=IF(K525=0,0,1)</t>
  </si>
  <si>
    <t>=P525+Q525</t>
  </si>
  <si>
    <t>=IF(R526=0,"HIDE","SHOW")</t>
  </si>
  <si>
    <t>="""Mission ERP"",""GBRA"",""15"",""1"",""13217"""</t>
  </si>
  <si>
    <t>=NF(D526,"No.")</t>
  </si>
  <si>
    <t>=NF(D526,"Name")</t>
  </si>
  <si>
    <t>=NL("Sum","G/L Entry","Amount","Fund No.",$C$4,"Budget Plan No.",PYPLAN_FILTER,"G/L Account No.",$E526,"Department Code",Dept_Filter,"Transaction Type","Budget")</t>
  </si>
  <si>
    <t>=NL("Sum","Version LIne Worksheet","Amount","Fund No.",$C$4,"Plan No.",Plan_Filter,"G/L Account No.",$E526,"Department Code",Dept_Filter)</t>
  </si>
  <si>
    <t>=K526-I526</t>
  </si>
  <si>
    <t>=IF(I526=0,0,1)</t>
  </si>
  <si>
    <t>=IF(K526=0,0,1)</t>
  </si>
  <si>
    <t>=P526+Q526</t>
  </si>
  <si>
    <t>=IF(R527=0,"HIDE","SHOW")</t>
  </si>
  <si>
    <t>="""Mission ERP"",""GBRA"",""15"",""1"",""13218"""</t>
  </si>
  <si>
    <t>=NF(D527,"No.")</t>
  </si>
  <si>
    <t>=NF(D527,"Name")</t>
  </si>
  <si>
    <t>=NL("Sum","G/L Entry","Amount","Fund No.",$C$4,"Budget Plan No.",PYPLAN_FILTER,"G/L Account No.",$E527,"Department Code",Dept_Filter,"Transaction Type","Budget")</t>
  </si>
  <si>
    <t>=NL("Sum","Version LIne Worksheet","Amount","Fund No.",$C$4,"Plan No.",Plan_Filter,"G/L Account No.",$E527,"Department Code",Dept_Filter)</t>
  </si>
  <si>
    <t>=K527-I527</t>
  </si>
  <si>
    <t>=IF(I527=0,0,1)</t>
  </si>
  <si>
    <t>=IF(K527=0,0,1)</t>
  </si>
  <si>
    <t>=P527+Q527</t>
  </si>
  <si>
    <t>=IF(R528=0,"HIDE","SHOW")</t>
  </si>
  <si>
    <t>="""Mission ERP"",""GBRA"",""15"",""1"",""13219"""</t>
  </si>
  <si>
    <t>=NF(D528,"No.")</t>
  </si>
  <si>
    <t>=NF(D528,"Name")</t>
  </si>
  <si>
    <t>=NL("Sum","G/L Entry","Amount","Fund No.",$C$4,"Budget Plan No.",PYPLAN_FILTER,"G/L Account No.",$E528,"Department Code",Dept_Filter,"Transaction Type","Budget")</t>
  </si>
  <si>
    <t>=NL("Sum","Version LIne Worksheet","Amount","Fund No.",$C$4,"Plan No.",Plan_Filter,"G/L Account No.",$E528,"Department Code",Dept_Filter)</t>
  </si>
  <si>
    <t>=K528-I528</t>
  </si>
  <si>
    <t>=IF(I528=0,0,1)</t>
  </si>
  <si>
    <t>=IF(K528=0,0,1)</t>
  </si>
  <si>
    <t>=P528+Q528</t>
  </si>
  <si>
    <t>=IF(R529=0,"HIDE","SHOW")</t>
  </si>
  <si>
    <t>="""Mission ERP"",""GBRA"",""15"",""1"",""61102"""</t>
  </si>
  <si>
    <t>=NF(D529,"No.")</t>
  </si>
  <si>
    <t>=NF(D529,"Name")</t>
  </si>
  <si>
    <t>=NL("Sum","G/L Entry","Amount","Fund No.",$C$4,"Budget Plan No.",PYPLAN_FILTER,"G/L Account No.",$E529,"Department Code",Dept_Filter,"Transaction Type","Budget")</t>
  </si>
  <si>
    <t>=NL("Sum","Version LIne Worksheet","Amount","Fund No.",$C$4,"Plan No.",Plan_Filter,"G/L Account No.",$E529,"Department Code",Dept_Filter)</t>
  </si>
  <si>
    <t>=K529-I529</t>
  </si>
  <si>
    <t>=IF(I529=0,0,1)</t>
  </si>
  <si>
    <t>=IF(K529=0,0,1)</t>
  </si>
  <si>
    <t>=P529+Q529</t>
  </si>
  <si>
    <t>=IF(R530=0,"HIDE","SHOW")</t>
  </si>
  <si>
    <t>="""Mission ERP"",""GBRA"",""15"",""1"",""61103"""</t>
  </si>
  <si>
    <t>=NF(D530,"No.")</t>
  </si>
  <si>
    <t>=NF(D530,"Name")</t>
  </si>
  <si>
    <t>=NL("Sum","G/L Entry","Amount","Fund No.",$C$4,"Budget Plan No.",PYPLAN_FILTER,"G/L Account No.",$E530,"Department Code",Dept_Filter,"Transaction Type","Budget")</t>
  </si>
  <si>
    <t>=NL("Sum","Version LIne Worksheet","Amount","Fund No.",$C$4,"Plan No.",Plan_Filter,"G/L Account No.",$E530,"Department Code",Dept_Filter)</t>
  </si>
  <si>
    <t>=K530-I530</t>
  </si>
  <si>
    <t>=IF(I530=0,0,1)</t>
  </si>
  <si>
    <t>=IF(K530=0,0,1)</t>
  </si>
  <si>
    <t>=P530+Q530</t>
  </si>
  <si>
    <t>=IF(R532=0,"HIDE","SHOW")</t>
  </si>
  <si>
    <t>=CONCATENATE("Total ",F509)</t>
  </si>
  <si>
    <t>=SUM(I510:I531)</t>
  </si>
  <si>
    <t>=SUM(K510:K531)</t>
  </si>
  <si>
    <t>=K532-I532</t>
  </si>
  <si>
    <t>=IF(I532=0,0,1)</t>
  </si>
  <si>
    <t>=IF(K532=0,0,1)</t>
  </si>
  <si>
    <t>=P532+Q532</t>
  </si>
  <si>
    <t>=B538</t>
  </si>
  <si>
    <t>=NL("First","G/L Account","Name","No.",C534)</t>
  </si>
  <si>
    <t>=IF(R535=0,"HIDE","SHOW")</t>
  </si>
  <si>
    <t>=NL("Rows","G/L Account",,"No.",C535,"Account Type","Posting")</t>
  </si>
  <si>
    <t>=NF(D535,"No.")</t>
  </si>
  <si>
    <t>=NF(D535,"Name")</t>
  </si>
  <si>
    <t>=NL("Sum","G/L Entry","Amount","Fund No.",$C$4,"Budget Plan No.",PYPLAN_FILTER,"G/L Account No.",$E535,"Department Code",Dept_Filter,"Transaction Type","Budget")</t>
  </si>
  <si>
    <t>=NL("Sum","Version LIne Worksheet","Amount","Fund No.",$C$4,"Plan No.",Plan_Filter,"G/L Account No.",$E535,"Department Code",Dept_Filter)</t>
  </si>
  <si>
    <t>=K535-I535</t>
  </si>
  <si>
    <t>=IF(I535=0,0,1)</t>
  </si>
  <si>
    <t>=IF(K535=0,0,1)</t>
  </si>
  <si>
    <t>=P535+Q535</t>
  </si>
  <si>
    <t>=IF(R536=0,"HIDE","SHOW")</t>
  </si>
  <si>
    <t>="""Mission ERP"",""GBRA"",""15"",""1"",""61515"""</t>
  </si>
  <si>
    <t>=NF(D536,"No.")</t>
  </si>
  <si>
    <t>=NF(D536,"Name")</t>
  </si>
  <si>
    <t>=NL("Sum","G/L Entry","Amount","Fund No.",$C$4,"Budget Plan No.",PYPLAN_FILTER,"G/L Account No.",$E536,"Department Code",Dept_Filter,"Transaction Type","Budget")</t>
  </si>
  <si>
    <t>=NL("Sum","Version LIne Worksheet","Amount","Fund No.",$C$4,"Plan No.",Plan_Filter,"G/L Account No.",$E536,"Department Code",Dept_Filter)</t>
  </si>
  <si>
    <t>=K536-I536</t>
  </si>
  <si>
    <t>=IF(I536=0,0,1)</t>
  </si>
  <si>
    <t>=IF(K536=0,0,1)</t>
  </si>
  <si>
    <t>=P536+Q536</t>
  </si>
  <si>
    <t>=IF(R538=0,"HIDE","SHOW")</t>
  </si>
  <si>
    <t>=CONCATENATE("Total ",F534)</t>
  </si>
  <si>
    <t>=SUM(I535:I537)</t>
  </si>
  <si>
    <t>=SUM(K535:K537)</t>
  </si>
  <si>
    <t>=K538-I538</t>
  </si>
  <si>
    <t>=IF(I538=0,0,1)</t>
  </si>
  <si>
    <t>=IF(K538=0,0,1)</t>
  </si>
  <si>
    <t>=P538+Q538</t>
  </si>
  <si>
    <t>=IF(R540=0,"HIDE","SHOW")</t>
  </si>
  <si>
    <t>=I445+I490+I495+I501+I507+I532+I538</t>
  </si>
  <si>
    <t>=K445+K490+K495+K501+K507+K532+K538</t>
  </si>
  <si>
    <t>=K540-I540</t>
  </si>
  <si>
    <t>=P540+Q540</t>
  </si>
  <si>
    <t>=I335-I540</t>
  </si>
  <si>
    <t>=K335-K540</t>
  </si>
  <si>
    <t>=K542-I542</t>
  </si>
  <si>
    <t>=IF(I542=0,0,1)</t>
  </si>
  <si>
    <t>=IF(K542=0,0,1)</t>
  </si>
  <si>
    <t>=P542+Q542</t>
  </si>
  <si>
    <t>=B546</t>
  </si>
  <si>
    <t>=IF(R546=0,"HIDE","SHOW")</t>
  </si>
  <si>
    <t>=P662+P779</t>
  </si>
  <si>
    <t>=Q662+Q779</t>
  </si>
  <si>
    <t>=P546+Q546</t>
  </si>
  <si>
    <t>=B628</t>
  </si>
  <si>
    <t>=IF(R549=0,"HIDE","SHOW")</t>
  </si>
  <si>
    <t>=NL("Rows","G/L Account",,"No.",C549)</t>
  </si>
  <si>
    <t>=TEXT(NF(D549,"No."),"00000")</t>
  </si>
  <si>
    <t>=NF(D549,"Name")</t>
  </si>
  <si>
    <t>=NL("Sum","G/L Entry","Amount","Fund No.",$C$4,"Budget Plan No.",PYPLAN_FILTER,"G/L Account No.",$E549,"Department Code",Dept_Filter,"Transaction Type","Budget")*-1</t>
  </si>
  <si>
    <t>=NL("Sum","Version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</si>
  <si>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</si>
  <si>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</si>
  <si>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</si>
  <si>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</si>
  <si>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</si>
  <si>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="""Mission ERP"",""GBRA"",""15"",""1"",""41129"""</t>
  </si>
  <si>
    <t>=TEXT(NF(D550,"No."),"00000")</t>
  </si>
  <si>
    <t>=NF(D550,"Name")</t>
  </si>
  <si>
    <t>=NL("Sum","G/L Entry","Amount","Fund No.",$C$4,"Budget Plan No.",PYPLAN_FILTER,"G/L Account No.",$E550,"Department Code",Dept_Filter,"Transaction Type","Budget")*-1</t>
  </si>
  <si>
    <t>=NL("Sum","Version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</si>
  <si>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</si>
  <si>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</si>
  <si>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</si>
  <si>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</si>
  <si>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</si>
  <si>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="""Mission ERP"",""GBRA"",""15"",""1"",""41131"""</t>
  </si>
  <si>
    <t>=TEXT(NF(D551,"No."),"00000")</t>
  </si>
  <si>
    <t>=NF(D551,"Name")</t>
  </si>
  <si>
    <t>=NL("Sum","G/L Entry","Amount","Fund No.",$C$4,"Budget Plan No.",PYPLAN_FILTER,"G/L Account No.",$E551,"Department Code",Dept_Filter,"Transaction Type","Budget")*-1</t>
  </si>
  <si>
    <t>=NL("Sum","Version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</si>
  <si>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</si>
  <si>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</si>
  <si>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</si>
  <si>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</si>
  <si>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</si>
  <si>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="""Mission ERP"",""GBRA"",""15"",""1"",""41132"""</t>
  </si>
  <si>
    <t>=TEXT(NF(D552,"No."),"00000")</t>
  </si>
  <si>
    <t>=NF(D552,"Name")</t>
  </si>
  <si>
    <t>=NL("Sum","G/L Entry","Amount","Fund No.",$C$4,"Budget Plan No.",PYPLAN_FILTER,"G/L Account No.",$E552,"Department Code",Dept_Filter,"Transaction Type","Budget")*-1</t>
  </si>
  <si>
    <t>=NL("Sum","Version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</si>
  <si>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</si>
  <si>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</si>
  <si>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</si>
  <si>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</si>
  <si>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</si>
  <si>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="""Mission ERP"",""GBRA"",""15"",""1"",""41133"""</t>
  </si>
  <si>
    <t>=TEXT(NF(D553,"No."),"00000")</t>
  </si>
  <si>
    <t>=NF(D553,"Name")</t>
  </si>
  <si>
    <t>=NL("Sum","G/L Entry","Amount","Fund No.",$C$4,"Budget Plan No.",PYPLAN_FILTER,"G/L Account No.",$E553,"Department Code",Dept_Filter,"Transaction Type","Budget")*-1</t>
  </si>
  <si>
    <t>=NL("Sum","Version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</si>
  <si>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</si>
  <si>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</si>
  <si>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</si>
  <si>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</si>
  <si>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</si>
  <si>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="""Mission ERP"",""GBRA"",""15"",""1"",""41138"""</t>
  </si>
  <si>
    <t>=TEXT(NF(D554,"No."),"00000")</t>
  </si>
  <si>
    <t>=NF(D554,"Name")</t>
  </si>
  <si>
    <t>=NL("Sum","G/L Entry","Amount","Fund No.",$C$4,"Budget Plan No.",PYPLAN_FILTER,"G/L Account No.",$E554,"Department Code",Dept_Filter,"Transaction Type","Budget")*-1</t>
  </si>
  <si>
    <t>=NL("Sum","Version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</si>
  <si>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</si>
  <si>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</si>
  <si>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</si>
  <si>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</si>
  <si>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</si>
  <si>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="""Mission ERP"",""GBRA"",""15"",""1"",""42601"""</t>
  </si>
  <si>
    <t>=TEXT(NF(D555,"No."),"00000")</t>
  </si>
  <si>
    <t>=NF(D555,"Name")</t>
  </si>
  <si>
    <t>=NL("Sum","G/L Entry","Amount","Fund No.",$C$4,"Budget Plan No.",PYPLAN_FILTER,"G/L Account No.",$E555,"Department Code",Dept_Filter,"Transaction Type","Budget")*-1</t>
  </si>
  <si>
    <t>=NL("Sum","Version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</si>
  <si>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</si>
  <si>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</si>
  <si>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</si>
  <si>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</si>
  <si>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=IF(R556=0,"HIDE","SHOW")</t>
  </si>
  <si>
    <t>="""Mission ERP"",""GBRA"",""15"",""1"",""42602"""</t>
  </si>
  <si>
    <t>=TEXT(NF(D556,"No."),"00000")</t>
  </si>
  <si>
    <t>=NF(D556,"Name")</t>
  </si>
  <si>
    <t>=NL("Sum","G/L Entry","Amount","Fund No.",$C$4,"Budget Plan No.",PYPLAN_FILTER,"G/L Account No.",$E556,"Department Code",Dept_Filter,"Transaction Type","Budget")*-1</t>
  </si>
  <si>
    <t>=NL("Sum","Version LIne Worksheet","Amount","Fund No.",$C$4,"Plan No.",Plan_Filter,"G/L Account No.",$E556,"Department Code",Dept_Filter)*-1</t>
  </si>
  <si>
    <t>=K556-I556</t>
  </si>
  <si>
    <t>=IF(I556=0,0,1)</t>
  </si>
  <si>
    <t>=IF(K556=0,0,1)</t>
  </si>
  <si>
    <t>=P556+Q556</t>
  </si>
  <si>
    <t>=IF(R557=0,"HIDE","SHOW")</t>
  </si>
  <si>
    <t>="""Mission ERP"",""GBRA"",""15"",""1"",""42603"""</t>
  </si>
  <si>
    <t>=TEXT(NF(D557,"No."),"00000")</t>
  </si>
  <si>
    <t>=NF(D557,"Name")</t>
  </si>
  <si>
    <t>=NL("Sum","G/L Entry","Amount","Fund No.",$C$4,"Budget Plan No.",PYPLAN_FILTER,"G/L Account No.",$E557,"Department Code",Dept_Filter,"Transaction Type","Budget")*-1</t>
  </si>
  <si>
    <t>=NL("Sum","Version LIne Worksheet","Amount","Fund No.",$C$4,"Plan No.",Plan_Filter,"G/L Account No.",$E557,"Department Code",Dept_Filter)*-1</t>
  </si>
  <si>
    <t>=K557-I557</t>
  </si>
  <si>
    <t>=IF(I557=0,0,1)</t>
  </si>
  <si>
    <t>=IF(K557=0,0,1)</t>
  </si>
  <si>
    <t>=P557+Q557</t>
  </si>
  <si>
    <t>=IF(R558=0,"HIDE","SHOW")</t>
  </si>
  <si>
    <t>="""Mission ERP"",""GBRA"",""15"",""1"",""42604"""</t>
  </si>
  <si>
    <t>=TEXT(NF(D558,"No."),"00000")</t>
  </si>
  <si>
    <t>=NF(D558,"Name")</t>
  </si>
  <si>
    <t>=NL("Sum","G/L Entry","Amount","Fund No.",$C$4,"Budget Plan No.",PYPLAN_FILTER,"G/L Account No.",$E558,"Department Code",Dept_Filter,"Transaction Type","Budget")*-1</t>
  </si>
  <si>
    <t>=NL("Sum","Version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</si>
  <si>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</si>
  <si>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</si>
  <si>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</si>
  <si>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</si>
  <si>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</si>
  <si>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="""Mission ERP"",""GBRA"",""15"",""1"",""42605"""</t>
  </si>
  <si>
    <t>=TEXT(NF(D559,"No."),"00000")</t>
  </si>
  <si>
    <t>=NF(D559,"Name")</t>
  </si>
  <si>
    <t>=NL("Sum","G/L Entry","Amount","Fund No.",$C$4,"Budget Plan No.",PYPLAN_FILTER,"G/L Account No.",$E559,"Department Code",Dept_Filter,"Transaction Type","Budget")*-1</t>
  </si>
  <si>
    <t>=NL("Sum","Version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</si>
  <si>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</si>
  <si>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</si>
  <si>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</si>
  <si>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</si>
  <si>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</si>
  <si>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="""Mission ERP"",""GBRA"",""15"",""1"",""42606"""</t>
  </si>
  <si>
    <t>=TEXT(NF(D560,"No."),"00000")</t>
  </si>
  <si>
    <t>=NF(D560,"Name")</t>
  </si>
  <si>
    <t>=NL("Sum","G/L Entry","Amount","Fund No.",$C$4,"Budget Plan No.",PYPLAN_FILTER,"G/L Account No.",$E560,"Department Code",Dept_Filter,"Transaction Type","Budget")*-1</t>
  </si>
  <si>
    <t>=NL("Sum","Version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</si>
  <si>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</si>
  <si>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</si>
  <si>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</si>
  <si>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</si>
  <si>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</si>
  <si>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="""Mission ERP"",""GBRA"",""15"",""1"",""42607"""</t>
  </si>
  <si>
    <t>=TEXT(NF(D561,"No."),"00000")</t>
  </si>
  <si>
    <t>=NF(D561,"Name")</t>
  </si>
  <si>
    <t>=NL("Sum","G/L Entry","Amount","Fund No.",$C$4,"Budget Plan No.",PYPLAN_FILTER,"G/L Account No.",$E561,"Department Code",Dept_Filter,"Transaction Type","Budget")*-1</t>
  </si>
  <si>
    <t>=NL("Sum","Version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</si>
  <si>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</si>
  <si>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</si>
  <si>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</si>
  <si>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</si>
  <si>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</si>
  <si>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="""Mission ERP"",""GBRA"",""15"",""1"",""42608"""</t>
  </si>
  <si>
    <t>=TEXT(NF(D562,"No."),"00000")</t>
  </si>
  <si>
    <t>=NF(D562,"Name")</t>
  </si>
  <si>
    <t>=NL("Sum","G/L Entry","Amount","Fund No.",$C$4,"Budget Plan No.",PYPLAN_FILTER,"G/L Account No.",$E562,"Department Code",Dept_Filter,"Transaction Type","Budget")*-1</t>
  </si>
  <si>
    <t>=NL("Sum","Version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</si>
  <si>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</si>
  <si>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</si>
  <si>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</si>
  <si>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</si>
  <si>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</si>
  <si>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="""Mission ERP"",""GBRA"",""15"",""1"",""42609"""</t>
  </si>
  <si>
    <t>=TEXT(NF(D563,"No."),"00000")</t>
  </si>
  <si>
    <t>=NF(D563,"Name")</t>
  </si>
  <si>
    <t>=NL("Sum","G/L Entry","Amount","Fund No.",$C$4,"Budget Plan No.",PYPLAN_FILTER,"G/L Account No.",$E563,"Department Code",Dept_Filter,"Transaction Type","Budget")*-1</t>
  </si>
  <si>
    <t>=NL("Sum","Version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</si>
  <si>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</si>
  <si>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</si>
  <si>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</si>
  <si>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</si>
  <si>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</si>
  <si>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="""Mission ERP"",""GBRA"",""15"",""1"",""42610"""</t>
  </si>
  <si>
    <t>=TEXT(NF(D564,"No."),"00000")</t>
  </si>
  <si>
    <t>=NF(D564,"Name")</t>
  </si>
  <si>
    <t>=NL("Sum","G/L Entry","Amount","Fund No.",$C$4,"Budget Plan No.",PYPLAN_FILTER,"G/L Account No.",$E564,"Department Code",Dept_Filter,"Transaction Type","Budget")*-1</t>
  </si>
  <si>
    <t>=NL("Sum","Version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</si>
  <si>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</si>
  <si>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</si>
  <si>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</si>
  <si>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</si>
  <si>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</si>
  <si>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="""Mission ERP"",""GBRA"",""15"",""1"",""42611"""</t>
  </si>
  <si>
    <t>=TEXT(NF(D565,"No."),"00000")</t>
  </si>
  <si>
    <t>=NF(D565,"Name")</t>
  </si>
  <si>
    <t>=NL("Sum","G/L Entry","Amount","Fund No.",$C$4,"Budget Plan No.",PYPLAN_FILTER,"G/L Account No.",$E565,"Department Code",Dept_Filter,"Transaction Type","Budget")*-1</t>
  </si>
  <si>
    <t>=NL("Sum","Version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</si>
  <si>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</si>
  <si>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</si>
  <si>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</si>
  <si>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</si>
  <si>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</si>
  <si>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="""Mission ERP"",""GBRA"",""15"",""1"",""42612"""</t>
  </si>
  <si>
    <t>=TEXT(NF(D566,"No."),"00000")</t>
  </si>
  <si>
    <t>=NF(D566,"Name")</t>
  </si>
  <si>
    <t>=NL("Sum","G/L Entry","Amount","Fund No.",$C$4,"Budget Plan No.",PYPLAN_FILTER,"G/L Account No.",$E566,"Department Code",Dept_Filter,"Transaction Type","Budget")*-1</t>
  </si>
  <si>
    <t>=NL("Sum","Version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</si>
  <si>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</si>
  <si>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</si>
  <si>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</si>
  <si>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</si>
  <si>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</si>
  <si>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="""Mission ERP"",""GBRA"",""15"",""1"",""42613"""</t>
  </si>
  <si>
    <t>=TEXT(NF(D567,"No."),"00000")</t>
  </si>
  <si>
    <t>=NF(D567,"Name")</t>
  </si>
  <si>
    <t>=NL("Sum","G/L Entry","Amount","Fund No.",$C$4,"Budget Plan No.",PYPLAN_FILTER,"G/L Account No.",$E567,"Department Code",Dept_Filter,"Transaction Type","Budget")*-1</t>
  </si>
  <si>
    <t>=NL("Sum","Version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</si>
  <si>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</si>
  <si>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</si>
  <si>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</si>
  <si>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</si>
  <si>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</si>
  <si>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="""Mission ERP"",""GBRA"",""15"",""1"",""42614"""</t>
  </si>
  <si>
    <t>=TEXT(NF(D568,"No."),"00000")</t>
  </si>
  <si>
    <t>=NF(D568,"Name")</t>
  </si>
  <si>
    <t>=NL("Sum","G/L Entry","Amount","Fund No.",$C$4,"Budget Plan No.",PYPLAN_FILTER,"G/L Account No.",$E568,"Department Code",Dept_Filter,"Transaction Type","Budget")*-1</t>
  </si>
  <si>
    <t>=NL("Sum","Version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</si>
  <si>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</si>
  <si>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</si>
  <si>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</si>
  <si>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</si>
  <si>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</si>
  <si>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="""Mission ERP"",""GBRA"",""15"",""1"",""42615"""</t>
  </si>
  <si>
    <t>=TEXT(NF(D569,"No."),"00000")</t>
  </si>
  <si>
    <t>=NF(D569,"Name")</t>
  </si>
  <si>
    <t>=NL("Sum","G/L Entry","Amount","Fund No.",$C$4,"Budget Plan No.",PYPLAN_FILTER,"G/L Account No.",$E569,"Department Code",Dept_Filter,"Transaction Type","Budget")*-1</t>
  </si>
  <si>
    <t>=NL("Sum","Version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</si>
  <si>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</si>
  <si>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</si>
  <si>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</si>
  <si>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</si>
  <si>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</si>
  <si>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="""Mission ERP"",""GBRA"",""15"",""1"",""42616"""</t>
  </si>
  <si>
    <t>=TEXT(NF(D570,"No."),"00000")</t>
  </si>
  <si>
    <t>=NF(D570,"Name")</t>
  </si>
  <si>
    <t>=NL("Sum","G/L Entry","Amount","Fund No.",$C$4,"Budget Plan No.",PYPLAN_FILTER,"G/L Account No.",$E570,"Department Code",Dept_Filter,"Transaction Type","Budget")*-1</t>
  </si>
  <si>
    <t>=NL("Sum","Version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</si>
  <si>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</si>
  <si>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</si>
  <si>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</si>
  <si>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</si>
  <si>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</si>
  <si>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="""Mission ERP"",""GBRA"",""15"",""1"",""42617"""</t>
  </si>
  <si>
    <t>=TEXT(NF(D571,"No."),"00000")</t>
  </si>
  <si>
    <t>=NF(D571,"Name")</t>
  </si>
  <si>
    <t>=NL("Sum","G/L Entry","Amount","Fund No.",$C$4,"Budget Plan No.",PYPLAN_FILTER,"G/L Account No.",$E571,"Department Code",Dept_Filter,"Transaction Type","Budget")*-1</t>
  </si>
  <si>
    <t>=NL("Sum","Version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</si>
  <si>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</si>
  <si>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</si>
  <si>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</si>
  <si>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</si>
  <si>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</si>
  <si>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="""Mission ERP"",""GBRA"",""15"",""1"",""42620"""</t>
  </si>
  <si>
    <t>=TEXT(NF(D572,"No."),"00000")</t>
  </si>
  <si>
    <t>=NF(D572,"Name")</t>
  </si>
  <si>
    <t>=NL("Sum","G/L Entry","Amount","Fund No.",$C$4,"Budget Plan No.",PYPLAN_FILTER,"G/L Account No.",$E572,"Department Code",Dept_Filter,"Transaction Type","Budget")*-1</t>
  </si>
  <si>
    <t>=NL("Sum","Version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</si>
  <si>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</si>
  <si>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</si>
  <si>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</si>
  <si>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</si>
  <si>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</si>
  <si>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="""Mission ERP"",""GBRA"",""15"",""1"",""42621"""</t>
  </si>
  <si>
    <t>=TEXT(NF(D573,"No."),"00000")</t>
  </si>
  <si>
    <t>=NF(D573,"Name")</t>
  </si>
  <si>
    <t>=NL("Sum","G/L Entry","Amount","Fund No.",$C$4,"Budget Plan No.",PYPLAN_FILTER,"G/L Account No.",$E573,"Department Code",Dept_Filter,"Transaction Type","Budget")*-1</t>
  </si>
  <si>
    <t>=NL("Sum","Version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</si>
  <si>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</si>
  <si>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</si>
  <si>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</si>
  <si>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</si>
  <si>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</si>
  <si>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="""Mission ERP"",""GBRA"",""15"",""1"",""42622"""</t>
  </si>
  <si>
    <t>=TEXT(NF(D574,"No."),"00000")</t>
  </si>
  <si>
    <t>=NF(D574,"Name")</t>
  </si>
  <si>
    <t>=NL("Sum","G/L Entry","Amount","Fund No.",$C$4,"Budget Plan No.",PYPLAN_FILTER,"G/L Account No.",$E574,"Department Code",Dept_Filter,"Transaction Type","Budget")*-1</t>
  </si>
  <si>
    <t>=NL("Sum","Version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</si>
  <si>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</si>
  <si>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</si>
  <si>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</si>
  <si>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</si>
  <si>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</si>
  <si>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="""Mission ERP"",""GBRA"",""15"",""1"",""42623"""</t>
  </si>
  <si>
    <t>=TEXT(NF(D575,"No."),"00000")</t>
  </si>
  <si>
    <t>=NF(D575,"Name")</t>
  </si>
  <si>
    <t>=NL("Sum","G/L Entry","Amount","Fund No.",$C$4,"Budget Plan No.",PYPLAN_FILTER,"G/L Account No.",$E575,"Department Code",Dept_Filter,"Transaction Type","Budget")*-1</t>
  </si>
  <si>
    <t>=NL("Sum","Version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</si>
  <si>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</si>
  <si>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</si>
  <si>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</si>
  <si>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</si>
  <si>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</si>
  <si>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="""Mission ERP"",""GBRA"",""15"",""1"",""42624"""</t>
  </si>
  <si>
    <t>=TEXT(NF(D576,"No."),"00000")</t>
  </si>
  <si>
    <t>=NF(D576,"Name")</t>
  </si>
  <si>
    <t>=NL("Sum","G/L Entry","Amount","Fund No.",$C$4,"Budget Plan No.",PYPLAN_FILTER,"G/L Account No.",$E576,"Department Code",Dept_Filter,"Transaction Type","Budget")*-1</t>
  </si>
  <si>
    <t>=NL("Sum","Version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</si>
  <si>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</si>
  <si>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</si>
  <si>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</si>
  <si>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</si>
  <si>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</si>
  <si>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="""Mission ERP"",""GBRA"",""15"",""1"",""42625"""</t>
  </si>
  <si>
    <t>=TEXT(NF(D577,"No."),"00000")</t>
  </si>
  <si>
    <t>=NF(D577,"Name")</t>
  </si>
  <si>
    <t>=NL("Sum","G/L Entry","Amount","Fund No.",$C$4,"Budget Plan No.",PYPLAN_FILTER,"G/L Account No.",$E577,"Department Code",Dept_Filter,"Transaction Type","Budget")*-1</t>
  </si>
  <si>
    <t>=NL("Sum","Version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</si>
  <si>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</si>
  <si>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</si>
  <si>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</si>
  <si>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</si>
  <si>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</si>
  <si>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="""Mission ERP"",""GBRA"",""15"",""1"",""42626"""</t>
  </si>
  <si>
    <t>=TEXT(NF(D578,"No."),"00000")</t>
  </si>
  <si>
    <t>=NF(D578,"Name")</t>
  </si>
  <si>
    <t>=NL("Sum","G/L Entry","Amount","Fund No.",$C$4,"Budget Plan No.",PYPLAN_FILTER,"G/L Account No.",$E578,"Department Code",Dept_Filter,"Transaction Type","Budget")*-1</t>
  </si>
  <si>
    <t>=NL("Sum","Version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</si>
  <si>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</si>
  <si>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</si>
  <si>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</si>
  <si>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</si>
  <si>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</si>
  <si>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="""Mission ERP"",""GBRA"",""15"",""1"",""42640"""</t>
  </si>
  <si>
    <t>=TEXT(NF(D579,"No."),"00000")</t>
  </si>
  <si>
    <t>=NF(D579,"Name")</t>
  </si>
  <si>
    <t>=NL("Sum","G/L Entry","Amount","Fund No.",$C$4,"Budget Plan No.",PYPLAN_FILTER,"G/L Account No.",$E579,"Department Code",Dept_Filter,"Transaction Type","Budget")*-1</t>
  </si>
  <si>
    <t>=NL("Sum","Version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</si>
  <si>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</si>
  <si>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</si>
  <si>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</si>
  <si>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</si>
  <si>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</si>
  <si>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="""Mission ERP"",""GBRA"",""15"",""1"",""42641"""</t>
  </si>
  <si>
    <t>=TEXT(NF(D580,"No."),"00000")</t>
  </si>
  <si>
    <t>=NF(D580,"Name")</t>
  </si>
  <si>
    <t>=NL("Sum","G/L Entry","Amount","Fund No.",$C$4,"Budget Plan No.",PYPLAN_FILTER,"G/L Account No.",$E580,"Department Code",Dept_Filter,"Transaction Type","Budget")*-1</t>
  </si>
  <si>
    <t>=NL("Sum","Version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</si>
  <si>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</si>
  <si>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</si>
  <si>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</si>
  <si>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</si>
  <si>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</si>
  <si>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="""Mission ERP"",""GBRA"",""15"",""1"",""42642"""</t>
  </si>
  <si>
    <t>=TEXT(NF(D581,"No."),"00000")</t>
  </si>
  <si>
    <t>=NF(D581,"Name")</t>
  </si>
  <si>
    <t>=NL("Sum","G/L Entry","Amount","Fund No.",$C$4,"Budget Plan No.",PYPLAN_FILTER,"G/L Account No.",$E581,"Department Code",Dept_Filter,"Transaction Type","Budget")*-1</t>
  </si>
  <si>
    <t>=NL("Sum","Version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</si>
  <si>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</si>
  <si>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</si>
  <si>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</si>
  <si>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</si>
  <si>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</si>
  <si>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="""Mission ERP"",""GBRA"",""15"",""1"",""42643"""</t>
  </si>
  <si>
    <t>=TEXT(NF(D582,"No."),"00000")</t>
  </si>
  <si>
    <t>=NF(D582,"Name")</t>
  </si>
  <si>
    <t>=NL("Sum","G/L Entry","Amount","Fund No.",$C$4,"Budget Plan No.",PYPLAN_FILTER,"G/L Account No.",$E582,"Department Code",Dept_Filter,"Transaction Type","Budget")*-1</t>
  </si>
  <si>
    <t>=NL("Sum","Version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</si>
  <si>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</si>
  <si>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</si>
  <si>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</si>
  <si>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</si>
  <si>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</si>
  <si>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="""Mission ERP"",""GBRA"",""15"",""1"",""42644"""</t>
  </si>
  <si>
    <t>=TEXT(NF(D583,"No."),"00000")</t>
  </si>
  <si>
    <t>=NF(D583,"Name")</t>
  </si>
  <si>
    <t>=NL("Sum","G/L Entry","Amount","Fund No.",$C$4,"Budget Plan No.",PYPLAN_FILTER,"G/L Account No.",$E583,"Department Code",Dept_Filter,"Transaction Type","Budget")*-1</t>
  </si>
  <si>
    <t>=NL("Sum","Version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</si>
  <si>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</si>
  <si>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</si>
  <si>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</si>
  <si>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</si>
  <si>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</si>
  <si>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="""Mission ERP"",""GBRA"",""15"",""1"",""42645"""</t>
  </si>
  <si>
    <t>=TEXT(NF(D584,"No."),"00000")</t>
  </si>
  <si>
    <t>=NF(D584,"Name")</t>
  </si>
  <si>
    <t>=NL("Sum","G/L Entry","Amount","Fund No.",$C$4,"Budget Plan No.",PYPLAN_FILTER,"G/L Account No.",$E584,"Department Code",Dept_Filter,"Transaction Type","Budget")*-1</t>
  </si>
  <si>
    <t>=NL("Sum","Version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</si>
  <si>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</si>
  <si>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</si>
  <si>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</si>
  <si>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</si>
  <si>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</si>
  <si>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="""Mission ERP"",""GBRA"",""15"",""1"",""42655"""</t>
  </si>
  <si>
    <t>=TEXT(NF(D585,"No."),"00000")</t>
  </si>
  <si>
    <t>=NF(D585,"Name")</t>
  </si>
  <si>
    <t>=NL("Sum","G/L Entry","Amount","Fund No.",$C$4,"Budget Plan No.",PYPLAN_FILTER,"G/L Account No.",$E585,"Department Code",Dept_Filter,"Transaction Type","Budget")*-1</t>
  </si>
  <si>
    <t>=NL("Sum","Version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</si>
  <si>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</si>
  <si>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</si>
  <si>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</si>
  <si>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</si>
  <si>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</si>
  <si>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="""Mission ERP"",""GBRA"",""15"",""1"",""42656"""</t>
  </si>
  <si>
    <t>=TEXT(NF(D586,"No."),"00000")</t>
  </si>
  <si>
    <t>=NF(D586,"Name")</t>
  </si>
  <si>
    <t>=NL("Sum","G/L Entry","Amount","Fund No.",$C$4,"Budget Plan No.",PYPLAN_FILTER,"G/L Account No.",$E586,"Department Code",Dept_Filter,"Transaction Type","Budget")*-1</t>
  </si>
  <si>
    <t>=NL("Sum","Version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</si>
  <si>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</si>
  <si>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</si>
  <si>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</si>
  <si>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</si>
  <si>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</si>
  <si>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="""Mission ERP"",""GBRA"",""15"",""1"",""42657"""</t>
  </si>
  <si>
    <t>=TEXT(NF(D587,"No."),"00000")</t>
  </si>
  <si>
    <t>=NF(D587,"Name")</t>
  </si>
  <si>
    <t>=NL("Sum","G/L Entry","Amount","Fund No.",$C$4,"Budget Plan No.",PYPLAN_FILTER,"G/L Account No.",$E587,"Department Code",Dept_Filter,"Transaction Type","Budget")*-1</t>
  </si>
  <si>
    <t>=NL("Sum","Version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</si>
  <si>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</si>
  <si>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</si>
  <si>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</si>
  <si>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</si>
  <si>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</si>
  <si>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="""Mission ERP"",""GBRA"",""15"",""1"",""42658"""</t>
  </si>
  <si>
    <t>=TEXT(NF(D588,"No."),"00000")</t>
  </si>
  <si>
    <t>=NF(D588,"Name")</t>
  </si>
  <si>
    <t>=NL("Sum","G/L Entry","Amount","Fund No.",$C$4,"Budget Plan No.",PYPLAN_FILTER,"G/L Account No.",$E588,"Department Code",Dept_Filter,"Transaction Type","Budget")*-1</t>
  </si>
  <si>
    <t>=NL("Sum","Version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</si>
  <si>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</si>
  <si>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</si>
  <si>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</si>
  <si>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</si>
  <si>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=IF(R589=0,"HIDE","SHOW")</t>
  </si>
  <si>
    <t>="""Mission ERP"",""GBRA"",""15"",""1"",""42659"""</t>
  </si>
  <si>
    <t>=TEXT(NF(D589,"No."),"00000")</t>
  </si>
  <si>
    <t>=NF(D589,"Name")</t>
  </si>
  <si>
    <t>=NL("Sum","G/L Entry","Amount","Fund No.",$C$4,"Budget Plan No.",PYPLAN_FILTER,"G/L Account No.",$E589,"Department Code",Dept_Filter,"Transaction Type","Budget")*-1</t>
  </si>
  <si>
    <t>=NL("Sum","Version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</si>
  <si>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</si>
  <si>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</si>
  <si>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</si>
  <si>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</si>
  <si>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=IF(R590=0,"HIDE","SHOW")</t>
  </si>
  <si>
    <t>="""Mission ERP"",""GBRA"",""15"",""1"",""42660"""</t>
  </si>
  <si>
    <t>=TEXT(NF(D590,"No."),"00000")</t>
  </si>
  <si>
    <t>=NF(D590,"Name")</t>
  </si>
  <si>
    <t>=NL("Sum","G/L Entry","Amount","Fund No.",$C$4,"Budget Plan No.",PYPLAN_FILTER,"G/L Account No.",$E590,"Department Code",Dept_Filter,"Transaction Type","Budget")*-1</t>
  </si>
  <si>
    <t>=NL("Sum","Version LIne Worksheet","Amount","Fund No.",$C$4,"Plan No.",Plan_Filter,"G/L Account No.",$E590,"Department Code",Dept_Filter)*-1</t>
  </si>
  <si>
    <t>=K590-I590</t>
  </si>
  <si>
    <t>=IF(I590=0,0,1)</t>
  </si>
  <si>
    <t>=IF(K590=0,0,1)</t>
  </si>
  <si>
    <t>=P590+Q590</t>
  </si>
  <si>
    <t>=IF(R591=0,"HIDE","SHOW")</t>
  </si>
  <si>
    <t>="""Mission ERP"",""GBRA"",""15"",""1"",""42661"""</t>
  </si>
  <si>
    <t>=TEXT(NF(D591,"No."),"00000")</t>
  </si>
  <si>
    <t>=NF(D591,"Name")</t>
  </si>
  <si>
    <t>=NL("Sum","G/L Entry","Amount","Fund No.",$C$4,"Budget Plan No.",PYPLAN_FILTER,"G/L Account No.",$E591,"Department Code",Dept_Filter,"Transaction Type","Budget")*-1</t>
  </si>
  <si>
    <t>=NL("Sum","Version LIne Worksheet","Amount","Fund No.",$C$4,"Plan No.",Plan_Filter,"G/L Account No.",$E591,"Department Code",Dept_Filter)*-1</t>
  </si>
  <si>
    <t>=K591-I591</t>
  </si>
  <si>
    <t>=IF(I591=0,0,1)</t>
  </si>
  <si>
    <t>=IF(K591=0,0,1)</t>
  </si>
  <si>
    <t>=P591+Q591</t>
  </si>
  <si>
    <t>=IF(R592=0,"HIDE","SHOW")</t>
  </si>
  <si>
    <t>="""Mission ERP"",""GBRA"",""15"",""1"",""42662"""</t>
  </si>
  <si>
    <t>=TEXT(NF(D592,"No."),"00000")</t>
  </si>
  <si>
    <t>=NF(D592,"Name")</t>
  </si>
  <si>
    <t>=NL("Sum","G/L Entry","Amount","Fund No.",$C$4,"Budget Plan No.",PYPLAN_FILTER,"G/L Account No.",$E592,"Department Code",Dept_Filter,"Transaction Type","Budget")*-1</t>
  </si>
  <si>
    <t>=NL("Sum","Version LIne Worksheet","Amount","Fund No.",$C$4,"Plan No.",Plan_Filter,"G/L Account No.",$E592,"Department Code",Dept_Filter)*-1</t>
  </si>
  <si>
    <t>=K592-I592</t>
  </si>
  <si>
    <t>=IF(I592=0,0,1)</t>
  </si>
  <si>
    <t>=IF(K592=0,0,1)</t>
  </si>
  <si>
    <t>=P592+Q592</t>
  </si>
  <si>
    <t>=IF(R593=0,"HIDE","SHOW")</t>
  </si>
  <si>
    <t>="""Mission ERP"",""GBRA"",""15"",""1"",""42663"""</t>
  </si>
  <si>
    <t>=TEXT(NF(D593,"No."),"00000")</t>
  </si>
  <si>
    <t>=NF(D593,"Name")</t>
  </si>
  <si>
    <t>=NL("Sum","G/L Entry","Amount","Fund No.",$C$4,"Budget Plan No.",PYPLAN_FILTER,"G/L Account No.",$E593,"Department Code",Dept_Filter,"Transaction Type","Budget")*-1</t>
  </si>
  <si>
    <t>=NL("Sum","Version LIne Worksheet","Amount","Fund No.",$C$4,"Plan No.",Plan_Filter,"G/L Account No.",$E593,"Department Code",Dept_Filter)*-1</t>
  </si>
  <si>
    <t>=K593-I593</t>
  </si>
  <si>
    <t>=IF(I593=0,0,1)</t>
  </si>
  <si>
    <t>=IF(K593=0,0,1)</t>
  </si>
  <si>
    <t>=P593+Q593</t>
  </si>
  <si>
    <t>=IF(R594=0,"HIDE","SHOW")</t>
  </si>
  <si>
    <t>="""Mission ERP"",""GBRA"",""15"",""1"",""42664"""</t>
  </si>
  <si>
    <t>=TEXT(NF(D594,"No."),"00000")</t>
  </si>
  <si>
    <t>=NF(D594,"Name")</t>
  </si>
  <si>
    <t>=NL("Sum","G/L Entry","Amount","Fund No.",$C$4,"Budget Plan No.",PYPLAN_FILTER,"G/L Account No.",$E594,"Department Code",Dept_Filter,"Transaction Type","Budget")*-1</t>
  </si>
  <si>
    <t>=NL("Sum","Version LIne Worksheet","Amount","Fund No.",$C$4,"Plan No.",Plan_Filter,"G/L Account No.",$E594,"Department Code",Dept_Filter)*-1</t>
  </si>
  <si>
    <t>=K594-I594</t>
  </si>
  <si>
    <t>=IF(I594=0,0,1)</t>
  </si>
  <si>
    <t>=IF(K594=0,0,1)</t>
  </si>
  <si>
    <t>=P594+Q594</t>
  </si>
  <si>
    <t>=IF(R595=0,"HIDE","SHOW")</t>
  </si>
  <si>
    <t>="""Mission ERP"",""GBRA"",""15"",""1"",""42665"""</t>
  </si>
  <si>
    <t>=TEXT(NF(D595,"No."),"00000")</t>
  </si>
  <si>
    <t>=NF(D595,"Name")</t>
  </si>
  <si>
    <t>=NL("Sum","G/L Entry","Amount","Fund No.",$C$4,"Budget Plan No.",PYPLAN_FILTER,"G/L Account No.",$E595,"Department Code",Dept_Filter,"Transaction Type","Budget")*-1</t>
  </si>
  <si>
    <t>=NL("Sum","Version LIne Worksheet","Amount","Fund No.",$C$4,"Plan No.",Plan_Filter,"G/L Account No.",$E595,"Department Code",Dept_Filter)*-1</t>
  </si>
  <si>
    <t>=K595-I595</t>
  </si>
  <si>
    <t>=IF(I595=0,0,1)</t>
  </si>
  <si>
    <t>=IF(K595=0,0,1)</t>
  </si>
  <si>
    <t>=P595+Q595</t>
  </si>
  <si>
    <t>=IF(R596=0,"HIDE","SHOW")</t>
  </si>
  <si>
    <t>="""Mission ERP"",""GBRA"",""15"",""1"",""42666"""</t>
  </si>
  <si>
    <t>=TEXT(NF(D596,"No."),"00000")</t>
  </si>
  <si>
    <t>=NF(D596,"Name")</t>
  </si>
  <si>
    <t>=NL("Sum","G/L Entry","Amount","Fund No.",$C$4,"Budget Plan No.",PYPLAN_FILTER,"G/L Account No.",$E596,"Department Code",Dept_Filter,"Transaction Type","Budget")*-1</t>
  </si>
  <si>
    <t>=NL("Sum","Version LIne Worksheet","Amount","Fund No.",$C$4,"Plan No.",Plan_Filter,"G/L Account No.",$E596,"Department Code",Dept_Filter)*-1</t>
  </si>
  <si>
    <t>=K596-I596</t>
  </si>
  <si>
    <t>=IF(I596=0,0,1)</t>
  </si>
  <si>
    <t>=IF(K596=0,0,1)</t>
  </si>
  <si>
    <t>=P596+Q596</t>
  </si>
  <si>
    <t>=IF(R597=0,"HIDE","SHOW")</t>
  </si>
  <si>
    <t>="""Mission ERP"",""GBRA"",""15"",""1"",""42670"""</t>
  </si>
  <si>
    <t>=TEXT(NF(D597,"No."),"00000")</t>
  </si>
  <si>
    <t>=NF(D597,"Name")</t>
  </si>
  <si>
    <t>=NL("Sum","G/L Entry","Amount","Fund No.",$C$4,"Budget Plan No.",PYPLAN_FILTER,"G/L Account No.",$E597,"Department Code",Dept_Filter,"Transaction Type","Budget")*-1</t>
  </si>
  <si>
    <t>=NL("Sum","Version LIne Worksheet","Amount","Fund No.",$C$4,"Plan No.",Plan_Filter,"G/L Account No.",$E597,"Department Code",Dept_Filter)*-1</t>
  </si>
  <si>
    <t>=K597-I597</t>
  </si>
  <si>
    <t>=IF(I597=0,0,1)</t>
  </si>
  <si>
    <t>=IF(K597=0,0,1)</t>
  </si>
  <si>
    <t>=P597+Q597</t>
  </si>
  <si>
    <t>=IF(R598=0,"HIDE","SHOW")</t>
  </si>
  <si>
    <t>="""Mission ERP"",""GBRA"",""15"",""1"",""42671"""</t>
  </si>
  <si>
    <t>=TEXT(NF(D598,"No."),"00000")</t>
  </si>
  <si>
    <t>=NF(D598,"Name")</t>
  </si>
  <si>
    <t>=NL("Sum","G/L Entry","Amount","Fund No.",$C$4,"Budget Plan No.",PYPLAN_FILTER,"G/L Account No.",$E598,"Department Code",Dept_Filter,"Transaction Type","Budget")*-1</t>
  </si>
  <si>
    <t>=NL("Sum","Version LIne Worksheet","Amount","Fund No.",$C$4,"Plan No.",Plan_Filter,"G/L Account No.",$E598,"Department Code",Dept_Filter)*-1</t>
  </si>
  <si>
    <t>=K598-I598</t>
  </si>
  <si>
    <t>=IF(I598=0,0,1)</t>
  </si>
  <si>
    <t>=IF(K598=0,0,1)</t>
  </si>
  <si>
    <t>=P598+Q598</t>
  </si>
  <si>
    <t>=IF(R599=0,"HIDE","SHOW")</t>
  </si>
  <si>
    <t>="""Mission ERP"",""GBRA"",""15"",""1"",""42672"""</t>
  </si>
  <si>
    <t>=TEXT(NF(D599,"No."),"00000")</t>
  </si>
  <si>
    <t>=NF(D599,"Name")</t>
  </si>
  <si>
    <t>=NL("Sum","G/L Entry","Amount","Fund No.",$C$4,"Budget Plan No.",PYPLAN_FILTER,"G/L Account No.",$E599,"Department Code",Dept_Filter,"Transaction Type","Budget")*-1</t>
  </si>
  <si>
    <t>=NL("Sum","Version LIne Worksheet","Amount","Fund No.",$C$4,"Plan No.",Plan_Filter,"G/L Account No.",$E599,"Department Code",Dept_Filter)*-1</t>
  </si>
  <si>
    <t>=K599-I599</t>
  </si>
  <si>
    <t>=IF(I599=0,0,1)</t>
  </si>
  <si>
    <t>=IF(K599=0,0,1)</t>
  </si>
  <si>
    <t>=P599+Q599</t>
  </si>
  <si>
    <t>=IF(R600=0,"HIDE","SHOW")</t>
  </si>
  <si>
    <t>="""Mission ERP"",""GBRA"",""15"",""1"",""42673"""</t>
  </si>
  <si>
    <t>=TEXT(NF(D600,"No."),"00000")</t>
  </si>
  <si>
    <t>=NF(D600,"Name")</t>
  </si>
  <si>
    <t>=NL("Sum","G/L Entry","Amount","Fund No.",$C$4,"Budget Plan No.",PYPLAN_FILTER,"G/L Account No.",$E600,"Department Code",Dept_Filter,"Transaction Type","Budget")*-1</t>
  </si>
  <si>
    <t>=NL("Sum","Version LIne Worksheet","Amount","Fund No.",$C$4,"Plan No.",Plan_Filter,"G/L Account No.",$E600,"Department Code",Dept_Filter)*-1</t>
  </si>
  <si>
    <t>=K600-I600</t>
  </si>
  <si>
    <t>=IF(I600=0,0,1)</t>
  </si>
  <si>
    <t>=IF(K600=0,0,1)</t>
  </si>
  <si>
    <t>=P600+Q600</t>
  </si>
  <si>
    <t>=IF(R601=0,"HIDE","SHOW")</t>
  </si>
  <si>
    <t>="""Mission ERP"",""GBRA"",""15"",""1"",""42674"""</t>
  </si>
  <si>
    <t>=TEXT(NF(D601,"No."),"00000")</t>
  </si>
  <si>
    <t>=NF(D601,"Name")</t>
  </si>
  <si>
    <t>=NL("Sum","G/L Entry","Amount","Fund No.",$C$4,"Budget Plan No.",PYPLAN_FILTER,"G/L Account No.",$E601,"Department Code",Dept_Filter,"Transaction Type","Budget")*-1</t>
  </si>
  <si>
    <t>=NL("Sum","Version LIne Worksheet","Amount","Fund No.",$C$4,"Plan No.",Plan_Filter,"G/L Account No.",$E601,"Department Code",Dept_Filter)*-1</t>
  </si>
  <si>
    <t>=K601-I601</t>
  </si>
  <si>
    <t>=IF(I601=0,0,1)</t>
  </si>
  <si>
    <t>=IF(K601=0,0,1)</t>
  </si>
  <si>
    <t>=P601+Q601</t>
  </si>
  <si>
    <t>=IF(R602=0,"HIDE","SHOW")</t>
  </si>
  <si>
    <t>="""Mission ERP"",""GBRA"",""15"",""1"",""42675"""</t>
  </si>
  <si>
    <t>=TEXT(NF(D602,"No."),"00000")</t>
  </si>
  <si>
    <t>=NF(D602,"Name")</t>
  </si>
  <si>
    <t>=NL("Sum","G/L Entry","Amount","Fund No.",$C$4,"Budget Plan No.",PYPLAN_FILTER,"G/L Account No.",$E602,"Department Code",Dept_Filter,"Transaction Type","Budget")*-1</t>
  </si>
  <si>
    <t>=NL("Sum","Version LIne Worksheet","Amount","Fund No.",$C$4,"Plan No.",Plan_Filter,"G/L Account No.",$E602,"Department Code",Dept_Filter)*-1</t>
  </si>
  <si>
    <t>=K602-I602</t>
  </si>
  <si>
    <t>=IF(I602=0,0,1)</t>
  </si>
  <si>
    <t>=IF(K602=0,0,1)</t>
  </si>
  <si>
    <t>=P602+Q602</t>
  </si>
  <si>
    <t>=IF(R603=0,"HIDE","SHOW")</t>
  </si>
  <si>
    <t>="""Mission ERP"",""GBRA"",""15"",""1"",""42676"""</t>
  </si>
  <si>
    <t>=TEXT(NF(D603,"No."),"00000")</t>
  </si>
  <si>
    <t>=NF(D603,"Name")</t>
  </si>
  <si>
    <t>=NL("Sum","G/L Entry","Amount","Fund No.",$C$4,"Budget Plan No.",PYPLAN_FILTER,"G/L Account No.",$E603,"Department Code",Dept_Filter,"Transaction Type","Budget")*-1</t>
  </si>
  <si>
    <t>=NL("Sum","Version LIne Worksheet","Amount","Fund No.",$C$4,"Plan No.",Plan_Filter,"G/L Account No.",$E603,"Department Code",Dept_Filter)*-1</t>
  </si>
  <si>
    <t>=K603-I603</t>
  </si>
  <si>
    <t>=IF(I603=0,0,1)</t>
  </si>
  <si>
    <t>=IF(K603=0,0,1)</t>
  </si>
  <si>
    <t>=P603+Q603</t>
  </si>
  <si>
    <t>=IF(R604=0,"HIDE","SHOW")</t>
  </si>
  <si>
    <t>="""Mission ERP"",""GBRA"",""15"",""1"",""42680"""</t>
  </si>
  <si>
    <t>=TEXT(NF(D604,"No."),"00000")</t>
  </si>
  <si>
    <t>=NF(D604,"Name")</t>
  </si>
  <si>
    <t>=NL("Sum","G/L Entry","Amount","Fund No.",$C$4,"Budget Plan No.",PYPLAN_FILTER,"G/L Account No.",$E604,"Department Code",Dept_Filter,"Transaction Type","Budget")*-1</t>
  </si>
  <si>
    <t>=NL("Sum","Version LIne Worksheet","Amount","Fund No.",$C$4,"Plan No.",Plan_Filter,"G/L Account No.",$E604,"Department Code",Dept_Filter)*-1</t>
  </si>
  <si>
    <t>=K604-I604</t>
  </si>
  <si>
    <t>=IF(I604=0,0,1)</t>
  </si>
  <si>
    <t>=IF(K604=0,0,1)</t>
  </si>
  <si>
    <t>=P604+Q604</t>
  </si>
  <si>
    <t>=IF(R605=0,"HIDE","SHOW")</t>
  </si>
  <si>
    <t>="""Mission ERP"",""GBRA"",""15"",""1"",""42681"""</t>
  </si>
  <si>
    <t>=TEXT(NF(D605,"No."),"00000")</t>
  </si>
  <si>
    <t>=NF(D605,"Name")</t>
  </si>
  <si>
    <t>=NL("Sum","G/L Entry","Amount","Fund No.",$C$4,"Budget Plan No.",PYPLAN_FILTER,"G/L Account No.",$E605,"Department Code",Dept_Filter,"Transaction Type","Budget")*-1</t>
  </si>
  <si>
    <t>=NL("Sum","Version LIne Worksheet","Amount","Fund No.",$C$4,"Plan No.",Plan_Filter,"G/L Account No.",$E605,"Department Code",Dept_Filter)*-1</t>
  </si>
  <si>
    <t>=K605-I605</t>
  </si>
  <si>
    <t>=IF(I605=0,0,1)</t>
  </si>
  <si>
    <t>=IF(K605=0,0,1)</t>
  </si>
  <si>
    <t>=P605+Q605</t>
  </si>
  <si>
    <t>=IF(R606=0,"HIDE","SHOW")</t>
  </si>
  <si>
    <t>="""Mission ERP"",""GBRA"",""15"",""1"",""42682"""</t>
  </si>
  <si>
    <t>=TEXT(NF(D606,"No."),"00000")</t>
  </si>
  <si>
    <t>=NF(D606,"Name")</t>
  </si>
  <si>
    <t>=NL("Sum","G/L Entry","Amount","Fund No.",$C$4,"Budget Plan No.",PYPLAN_FILTER,"G/L Account No.",$E606,"Department Code",Dept_Filter,"Transaction Type","Budget")*-1</t>
  </si>
  <si>
    <t>=NL("Sum","Version LIne Worksheet","Amount","Fund No.",$C$4,"Plan No.",Plan_Filter,"G/L Account No.",$E606,"Department Code",Dept_Filter)*-1</t>
  </si>
  <si>
    <t>=K606-I606</t>
  </si>
  <si>
    <t>=IF(I606=0,0,1)</t>
  </si>
  <si>
    <t>=IF(K606=0,0,1)</t>
  </si>
  <si>
    <t>=P606+Q606</t>
  </si>
  <si>
    <t>=IF(R607=0,"HIDE","SHOW")</t>
  </si>
  <si>
    <t>="""Mission ERP"",""GBRA"",""15"",""1"",""42683"""</t>
  </si>
  <si>
    <t>=TEXT(NF(D607,"No."),"00000")</t>
  </si>
  <si>
    <t>=NF(D607,"Name")</t>
  </si>
  <si>
    <t>=NL("Sum","G/L Entry","Amount","Fund No.",$C$4,"Budget Plan No.",PYPLAN_FILTER,"G/L Account No.",$E607,"Department Code",Dept_Filter,"Transaction Type","Budget")*-1</t>
  </si>
  <si>
    <t>=NL("Sum","Version LIne Worksheet","Amount","Fund No.",$C$4,"Plan No.",Plan_Filter,"G/L Account No.",$E607,"Department Code",Dept_Filter)*-1</t>
  </si>
  <si>
    <t>=K607-I607</t>
  </si>
  <si>
    <t>=IF(I607=0,0,1)</t>
  </si>
  <si>
    <t>=IF(K607=0,0,1)</t>
  </si>
  <si>
    <t>=P607+Q607</t>
  </si>
  <si>
    <t>=IF(R608=0,"HIDE","SHOW")</t>
  </si>
  <si>
    <t>="""Mission ERP"",""GBRA"",""15"",""1"",""42684"""</t>
  </si>
  <si>
    <t>=TEXT(NF(D608,"No."),"00000")</t>
  </si>
  <si>
    <t>=NF(D608,"Name")</t>
  </si>
  <si>
    <t>=NL("Sum","G/L Entry","Amount","Fund No.",$C$4,"Budget Plan No.",PYPLAN_FILTER,"G/L Account No.",$E608,"Department Code",Dept_Filter,"Transaction Type","Budget")*-1</t>
  </si>
  <si>
    <t>=NL("Sum","Version LIne Worksheet","Amount","Fund No.",$C$4,"Plan No.",Plan_Filter,"G/L Account No.",$E608,"Department Code",Dept_Filter)*-1</t>
  </si>
  <si>
    <t>=K608-I608</t>
  </si>
  <si>
    <t>=IF(I608=0,0,1)</t>
  </si>
  <si>
    <t>=IF(K608=0,0,1)</t>
  </si>
  <si>
    <t>=P608+Q608</t>
  </si>
  <si>
    <t>=IF(R609=0,"HIDE","SHOW")</t>
  </si>
  <si>
    <t>="""Mission ERP"",""GBRA"",""15"",""1"",""42685"""</t>
  </si>
  <si>
    <t>=TEXT(NF(D609,"No."),"00000")</t>
  </si>
  <si>
    <t>=NF(D609,"Name")</t>
  </si>
  <si>
    <t>=NL("Sum","G/L Entry","Amount","Fund No.",$C$4,"Budget Plan No.",PYPLAN_FILTER,"G/L Account No.",$E609,"Department Code",Dept_Filter,"Transaction Type","Budget")*-1</t>
  </si>
  <si>
    <t>=NL("Sum","Version LIne Worksheet","Amount","Fund No.",$C$4,"Plan No.",Plan_Filter,"G/L Account No.",$E609,"Department Code",Dept_Filter)*-1</t>
  </si>
  <si>
    <t>=K609-I609</t>
  </si>
  <si>
    <t>=IF(I609=0,0,1)</t>
  </si>
  <si>
    <t>=IF(K609=0,0,1)</t>
  </si>
  <si>
    <t>=P609+Q609</t>
  </si>
  <si>
    <t>=IF(R610=0,"HIDE","SHOW")</t>
  </si>
  <si>
    <t>="""Mission ERP"",""GBRA"",""15"",""1"",""42686"""</t>
  </si>
  <si>
    <t>=TEXT(NF(D610,"No."),"00000")</t>
  </si>
  <si>
    <t>=NF(D610,"Name")</t>
  </si>
  <si>
    <t>=NL("Sum","G/L Entry","Amount","Fund No.",$C$4,"Budget Plan No.",PYPLAN_FILTER,"G/L Account No.",$E610,"Department Code",Dept_Filter,"Transaction Type","Budget")*-1</t>
  </si>
  <si>
    <t>=NL("Sum","Version LIne Worksheet","Amount","Fund No.",$C$4,"Plan No.",Plan_Filter,"G/L Account No.",$E610,"Department Code",Dept_Filter)*-1</t>
  </si>
  <si>
    <t>=K610-I610</t>
  </si>
  <si>
    <t>=IF(I610=0,0,1)</t>
  </si>
  <si>
    <t>=IF(K610=0,0,1)</t>
  </si>
  <si>
    <t>=P610+Q610</t>
  </si>
  <si>
    <t>=IF(R611=0,"HIDE","SHOW")</t>
  </si>
  <si>
    <t>="""Mission ERP"",""GBRA"",""15"",""1"",""42687"""</t>
  </si>
  <si>
    <t>=TEXT(NF(D611,"No."),"00000")</t>
  </si>
  <si>
    <t>=NF(D611,"Name")</t>
  </si>
  <si>
    <t>=NL("Sum","G/L Entry","Amount","Fund No.",$C$4,"Budget Plan No.",PYPLAN_FILTER,"G/L Account No.",$E611,"Department Code",Dept_Filter,"Transaction Type","Budget")*-1</t>
  </si>
  <si>
    <t>=NL("Sum","Version LIne Worksheet","Amount","Fund No.",$C$4,"Plan No.",Plan_Filter,"G/L Account No.",$E611,"Department Code",Dept_Filter)*-1</t>
  </si>
  <si>
    <t>=K611-I611</t>
  </si>
  <si>
    <t>=IF(I611=0,0,1)</t>
  </si>
  <si>
    <t>=IF(K611=0,0,1)</t>
  </si>
  <si>
    <t>=P611+Q611</t>
  </si>
  <si>
    <t>=IF(R612=0,"HIDE","SHOW")</t>
  </si>
  <si>
    <t>="""Mission ERP"",""GBRA"",""15"",""1"",""42688"""</t>
  </si>
  <si>
    <t>=TEXT(NF(D612,"No."),"00000")</t>
  </si>
  <si>
    <t>=NF(D612,"Name")</t>
  </si>
  <si>
    <t>=NL("Sum","G/L Entry","Amount","Fund No.",$C$4,"Budget Plan No.",PYPLAN_FILTER,"G/L Account No.",$E612,"Department Code",Dept_Filter,"Transaction Type","Budget")*-1</t>
  </si>
  <si>
    <t>=NL("Sum","Version LIne Worksheet","Amount","Fund No.",$C$4,"Plan No.",Plan_Filter,"G/L Account No.",$E612,"Department Code",Dept_Filter)*-1</t>
  </si>
  <si>
    <t>=K612-I612</t>
  </si>
  <si>
    <t>=IF(I612=0,0,1)</t>
  </si>
  <si>
    <t>=IF(K612=0,0,1)</t>
  </si>
  <si>
    <t>=P612+Q612</t>
  </si>
  <si>
    <t>=IF(R613=0,"HIDE","SHOW")</t>
  </si>
  <si>
    <t>="""Mission ERP"",""GBRA"",""15"",""1"",""42689"""</t>
  </si>
  <si>
    <t>=TEXT(NF(D613,"No."),"00000")</t>
  </si>
  <si>
    <t>=NF(D613,"Name")</t>
  </si>
  <si>
    <t>=NL("Sum","G/L Entry","Amount","Fund No.",$C$4,"Budget Plan No.",PYPLAN_FILTER,"G/L Account No.",$E613,"Department Code",Dept_Filter,"Transaction Type","Budget")*-1</t>
  </si>
  <si>
    <t>=NL("Sum","Version LIne Worksheet","Amount","Fund No.",$C$4,"Plan No.",Plan_Filter,"G/L Account No.",$E613,"Department Code",Dept_Filter)*-1</t>
  </si>
  <si>
    <t>=K613-I613</t>
  </si>
  <si>
    <t>=IF(I613=0,0,1)</t>
  </si>
  <si>
    <t>=IF(K613=0,0,1)</t>
  </si>
  <si>
    <t>=P613+Q613</t>
  </si>
  <si>
    <t>=IF(R614=0,"HIDE","SHOW")</t>
  </si>
  <si>
    <t>="""Mission ERP"",""GBRA"",""15"",""1"",""42690"""</t>
  </si>
  <si>
    <t>=TEXT(NF(D614,"No."),"00000")</t>
  </si>
  <si>
    <t>=NF(D614,"Name")</t>
  </si>
  <si>
    <t>=NL("Sum","G/L Entry","Amount","Fund No.",$C$4,"Budget Plan No.",PYPLAN_FILTER,"G/L Account No.",$E614,"Department Code",Dept_Filter,"Transaction Type","Budget")*-1</t>
  </si>
  <si>
    <t>=NL("Sum","Version LIne Worksheet","Amount","Fund No.",$C$4,"Plan No.",Plan_Filter,"G/L Account No.",$E614,"Department Code",Dept_Filter)*-1</t>
  </si>
  <si>
    <t>=K614-I614</t>
  </si>
  <si>
    <t>=IF(I614=0,0,1)</t>
  </si>
  <si>
    <t>=IF(K614=0,0,1)</t>
  </si>
  <si>
    <t>=P614+Q614</t>
  </si>
  <si>
    <t>=IF(R615=0,"HIDE","SHOW")</t>
  </si>
  <si>
    <t>="""Mission ERP"",""GBRA"",""15"",""1"",""42691"""</t>
  </si>
  <si>
    <t>=TEXT(NF(D615,"No."),"00000")</t>
  </si>
  <si>
    <t>=NF(D615,"Name")</t>
  </si>
  <si>
    <t>=NL("Sum","G/L Entry","Amount","Fund No.",$C$4,"Budget Plan No.",PYPLAN_FILTER,"G/L Account No.",$E615,"Department Code",Dept_Filter,"Transaction Type","Budget")*-1</t>
  </si>
  <si>
    <t>=NL("Sum","Version LIne Worksheet","Amount","Fund No.",$C$4,"Plan No.",Plan_Filter,"G/L Account No.",$E615,"Department Code",Dept_Filter)*-1</t>
  </si>
  <si>
    <t>=K615-I615</t>
  </si>
  <si>
    <t>=IF(I615=0,0,1)</t>
  </si>
  <si>
    <t>=IF(K615=0,0,1)</t>
  </si>
  <si>
    <t>=P615+Q615</t>
  </si>
  <si>
    <t>=IF(R616=0,"HIDE","SHOW")</t>
  </si>
  <si>
    <t>="""Mission ERP"",""GBRA"",""15"",""1"",""42692"""</t>
  </si>
  <si>
    <t>=TEXT(NF(D616,"No."),"00000")</t>
  </si>
  <si>
    <t>=NF(D616,"Name")</t>
  </si>
  <si>
    <t>=NL("Sum","G/L Entry","Amount","Fund No.",$C$4,"Budget Plan No.",PYPLAN_FILTER,"G/L Account No.",$E616,"Department Code",Dept_Filter,"Transaction Type","Budget")*-1</t>
  </si>
  <si>
    <t>=NL("Sum","Version LIne Worksheet","Amount","Fund No.",$C$4,"Plan No.",Plan_Filter,"G/L Account No.",$E616,"Department Code",Dept_Filter)*-1</t>
  </si>
  <si>
    <t>=K616-I616</t>
  </si>
  <si>
    <t>=IF(I616=0,0,1)</t>
  </si>
  <si>
    <t>=IF(K616=0,0,1)</t>
  </si>
  <si>
    <t>=P616+Q616</t>
  </si>
  <si>
    <t>=IF(R617=0,"HIDE","SHOW")</t>
  </si>
  <si>
    <t>="""Mission ERP"",""GBRA"",""15"",""1"",""42695"""</t>
  </si>
  <si>
    <t>=TEXT(NF(D617,"No."),"00000")</t>
  </si>
  <si>
    <t>=NF(D617,"Name")</t>
  </si>
  <si>
    <t>=NL("Sum","G/L Entry","Amount","Fund No.",$C$4,"Budget Plan No.",PYPLAN_FILTER,"G/L Account No.",$E617,"Department Code",Dept_Filter,"Transaction Type","Budget")*-1</t>
  </si>
  <si>
    <t>=NL("Sum","Version LIne Worksheet","Amount","Fund No.",$C$4,"Plan No.",Plan_Filter,"G/L Account No.",$E617,"Department Code",Dept_Filter)*-1</t>
  </si>
  <si>
    <t>=K617-I617</t>
  </si>
  <si>
    <t>=IF(I617=0,0,1)</t>
  </si>
  <si>
    <t>=IF(K617=0,0,1)</t>
  </si>
  <si>
    <t>=P617+Q617</t>
  </si>
  <si>
    <t>=IF(R618=0,"HIDE","SHOW")</t>
  </si>
  <si>
    <t>="""Mission ERP"",""GBRA"",""15"",""1"",""42696"""</t>
  </si>
  <si>
    <t>=TEXT(NF(D618,"No."),"00000")</t>
  </si>
  <si>
    <t>=NF(D618,"Name")</t>
  </si>
  <si>
    <t>=NL("Sum","G/L Entry","Amount","Fund No.",$C$4,"Budget Plan No.",PYPLAN_FILTER,"G/L Account No.",$E618,"Department Code",Dept_Filter,"Transaction Type","Budget")*-1</t>
  </si>
  <si>
    <t>=NL("Sum","Version LIne Worksheet","Amount","Fund No.",$C$4,"Plan No.",Plan_Filter,"G/L Account No.",$E618,"Department Code",Dept_Filter)*-1</t>
  </si>
  <si>
    <t>=K618-I618</t>
  </si>
  <si>
    <t>=IF(I618=0,0,1)</t>
  </si>
  <si>
    <t>=IF(K618=0,0,1)</t>
  </si>
  <si>
    <t>=P618+Q618</t>
  </si>
  <si>
    <t>=IF(R619=0,"HIDE","SHOW")</t>
  </si>
  <si>
    <t>="""Mission ERP"",""GBRA"",""15"",""1"",""42697"""</t>
  </si>
  <si>
    <t>=TEXT(NF(D619,"No."),"00000")</t>
  </si>
  <si>
    <t>=NF(D619,"Name")</t>
  </si>
  <si>
    <t>=NL("Sum","G/L Entry","Amount","Fund No.",$C$4,"Budget Plan No.",PYPLAN_FILTER,"G/L Account No.",$E619,"Department Code",Dept_Filter,"Transaction Type","Budget")*-1</t>
  </si>
  <si>
    <t>=NL("Sum","Version LIne Worksheet","Amount","Fund No.",$C$4,"Plan No.",Plan_Filter,"G/L Account No.",$E619,"Department Code",Dept_Filter)*-1</t>
  </si>
  <si>
    <t>=K619-I619</t>
  </si>
  <si>
    <t>=IF(I619=0,0,1)</t>
  </si>
  <si>
    <t>=IF(K619=0,0,1)</t>
  </si>
  <si>
    <t>=P619+Q619</t>
  </si>
  <si>
    <t>=IF(R620=0,"HIDE","SHOW")</t>
  </si>
  <si>
    <t>="""Mission ERP"",""GBRA"",""15"",""1"",""42698"""</t>
  </si>
  <si>
    <t>=TEXT(NF(D620,"No."),"00000")</t>
  </si>
  <si>
    <t>=NF(D620,"Name")</t>
  </si>
  <si>
    <t>=NL("Sum","G/L Entry","Amount","Fund No.",$C$4,"Budget Plan No.",PYPLAN_FILTER,"G/L Account No.",$E620,"Department Code",Dept_Filter,"Transaction Type","Budget")*-1</t>
  </si>
  <si>
    <t>=NL("Sum","Version LIne Worksheet","Amount","Fund No.",$C$4,"Plan No.",Plan_Filter,"G/L Account No.",$E620,"Department Code",Dept_Filter)*-1</t>
  </si>
  <si>
    <t>=K620-I620</t>
  </si>
  <si>
    <t>=IF(I620=0,0,1)</t>
  </si>
  <si>
    <t>=IF(K620=0,0,1)</t>
  </si>
  <si>
    <t>=P620+Q620</t>
  </si>
  <si>
    <t>=IF(R621=0,"HIDE","SHOW")</t>
  </si>
  <si>
    <t>="""Mission ERP"",""GBRA"",""15"",""1"",""42699"""</t>
  </si>
  <si>
    <t>=TEXT(NF(D621,"No."),"00000")</t>
  </si>
  <si>
    <t>=NF(D621,"Name")</t>
  </si>
  <si>
    <t>=NL("Sum","G/L Entry","Amount","Fund No.",$C$4,"Budget Plan No.",PYPLAN_FILTER,"G/L Account No.",$E621,"Department Code",Dept_Filter,"Transaction Type","Budget")*-1</t>
  </si>
  <si>
    <t>=NL("Sum","Version LIne Worksheet","Amount","Fund No.",$C$4,"Plan No.",Plan_Filter,"G/L Account No.",$E621,"Department Code",Dept_Filter)*-1</t>
  </si>
  <si>
    <t>=K621-I621</t>
  </si>
  <si>
    <t>=IF(I621=0,0,1)</t>
  </si>
  <si>
    <t>=IF(K621=0,0,1)</t>
  </si>
  <si>
    <t>=P621+Q621</t>
  </si>
  <si>
    <t>=IF(R622=0,"HIDE","SHOW")</t>
  </si>
  <si>
    <t>="""Mission ERP"",""GBRA"",""15"",""1"",""42790"""</t>
  </si>
  <si>
    <t>=TEXT(NF(D622,"No."),"00000")</t>
  </si>
  <si>
    <t>=NF(D622,"Name")</t>
  </si>
  <si>
    <t>=NL("Sum","G/L Entry","Amount","Fund No.",$C$4,"Budget Plan No.",PYPLAN_FILTER,"G/L Account No.",$E622,"Department Code",Dept_Filter,"Transaction Type","Budget")*-1</t>
  </si>
  <si>
    <t>=NL("Sum","Version LIne Worksheet","Amount","Fund No.",$C$4,"Plan No.",Plan_Filter,"G/L Account No.",$E622,"Department Code",Dept_Filter)*-1</t>
  </si>
  <si>
    <t>=K622-I622</t>
  </si>
  <si>
    <t>=IF(I622=0,0,1)</t>
  </si>
  <si>
    <t>=IF(K622=0,0,1)</t>
  </si>
  <si>
    <t>=P622+Q622</t>
  </si>
  <si>
    <t>=IF(R623=0,"HIDE","SHOW")</t>
  </si>
  <si>
    <t>="""Mission ERP"",""GBRA"",""15"",""1"",""42791"""</t>
  </si>
  <si>
    <t>=TEXT(NF(D623,"No."),"00000")</t>
  </si>
  <si>
    <t>=NF(D623,"Name")</t>
  </si>
  <si>
    <t>=NL("Sum","G/L Entry","Amount","Fund No.",$C$4,"Budget Plan No.",PYPLAN_FILTER,"G/L Account No.",$E623,"Department Code",Dept_Filter,"Transaction Type","Budget")*-1</t>
  </si>
  <si>
    <t>=NL("Sum","Version LIne Worksheet","Amount","Fund No.",$C$4,"Plan No.",Plan_Filter,"G/L Account No.",$E623,"Department Code",Dept_Filter)*-1</t>
  </si>
  <si>
    <t>=K623-I623</t>
  </si>
  <si>
    <t>=IF(I623=0,0,1)</t>
  </si>
  <si>
    <t>=IF(K623=0,0,1)</t>
  </si>
  <si>
    <t>=P623+Q623</t>
  </si>
  <si>
    <t>=IF(R624=0,"HIDE","SHOW")</t>
  </si>
  <si>
    <t>="""Mission ERP"",""GBRA"",""15"",""1"",""42792"""</t>
  </si>
  <si>
    <t>=TEXT(NF(D624,"No."),"00000")</t>
  </si>
  <si>
    <t>=NF(D624,"Name")</t>
  </si>
  <si>
    <t>=NL("Sum","G/L Entry","Amount","Fund No.",$C$4,"Budget Plan No.",PYPLAN_FILTER,"G/L Account No.",$E624,"Department Code",Dept_Filter,"Transaction Type","Budget")*-1</t>
  </si>
  <si>
    <t>=NL("Sum","Version LIne Worksheet","Amount","Fund No.",$C$4,"Plan No.",Plan_Filter,"G/L Account No.",$E624,"Department Code",Dept_Filter)*-1</t>
  </si>
  <si>
    <t>=K624-I624</t>
  </si>
  <si>
    <t>=IF(I624=0,0,1)</t>
  </si>
  <si>
    <t>=IF(K624=0,0,1)</t>
  </si>
  <si>
    <t>=P624+Q624</t>
  </si>
  <si>
    <t>=IF(R625=0,"HIDE","SHOW")</t>
  </si>
  <si>
    <t>="""Mission ERP"",""GBRA"",""15"",""1"",""42793"""</t>
  </si>
  <si>
    <t>=TEXT(NF(D625,"No."),"00000")</t>
  </si>
  <si>
    <t>=NF(D625,"Name")</t>
  </si>
  <si>
    <t>=NL("Sum","G/L Entry","Amount","Fund No.",$C$4,"Budget Plan No.",PYPLAN_FILTER,"G/L Account No.",$E625,"Department Code",Dept_Filter,"Transaction Type","Budget")*-1</t>
  </si>
  <si>
    <t>=NL("Sum","Version LIne Worksheet","Amount","Fund No.",$C$4,"Plan No.",Plan_Filter,"G/L Account No.",$E625,"Department Code",Dept_Filter)*-1</t>
  </si>
  <si>
    <t>=K625-I625</t>
  </si>
  <si>
    <t>=IF(I625=0,0,1)</t>
  </si>
  <si>
    <t>=IF(K625=0,0,1)</t>
  </si>
  <si>
    <t>=P625+Q625</t>
  </si>
  <si>
    <t>=IF(R626=0,"HIDE","SHOW")</t>
  </si>
  <si>
    <t>="""Mission ERP"",""GBRA"",""15"",""1"",""42794"""</t>
  </si>
  <si>
    <t>=TEXT(NF(D626,"No."),"00000")</t>
  </si>
  <si>
    <t>=NF(D626,"Name")</t>
  </si>
  <si>
    <t>=NL("Sum","G/L Entry","Amount","Fund No.",$C$4,"Budget Plan No.",PYPLAN_FILTER,"G/L Account No.",$E626,"Department Code",Dept_Filter,"Transaction Type","Budget")*-1</t>
  </si>
  <si>
    <t>=NL("Sum","Version LIne Worksheet","Amount","Fund No.",$C$4,"Plan No.",Plan_Filter,"G/L Account No.",$E626,"Department Code",Dept_Filter)*-1</t>
  </si>
  <si>
    <t>=K626-I626</t>
  </si>
  <si>
    <t>=IF(I626=0,0,1)</t>
  </si>
  <si>
    <t>=IF(K626=0,0,1)</t>
  </si>
  <si>
    <t>=P626+Q626</t>
  </si>
  <si>
    <t>=IF(R628=0,"HIDE","SHOW")</t>
  </si>
  <si>
    <t>=CONCATENATE("Total ",F548)</t>
  </si>
  <si>
    <t>=SUM(I549:I627)</t>
  </si>
  <si>
    <t>=SUM(K549:K627)</t>
  </si>
  <si>
    <t>=K628-I628</t>
  </si>
  <si>
    <t>=IF(I628=0,0,1)</t>
  </si>
  <si>
    <t>=IF(K628=0,0,1)</t>
  </si>
  <si>
    <t>=P628+Q628</t>
  </si>
  <si>
    <t>=B660</t>
  </si>
  <si>
    <t>=IF(R631=0,"HIDE","SHOW")</t>
  </si>
  <si>
    <t>=NL("Rows","G/L Account",,"No.",C631)</t>
  </si>
  <si>
    <t>=TEXT(NF(D631,"No."),"00000")</t>
  </si>
  <si>
    <t>=NF(D631,"Name")</t>
  </si>
  <si>
    <t>=NL("Sum","G/L Entry","Amount","Fund No.",$C$4,"Budget Plan No.",PYPLAN_FILTER,"G/L Account No.",$E631,"Department Code",Dept_Filter,"Transaction Type","Budget")*-1</t>
  </si>
  <si>
    <t>=NL("Sum","Version LIne Worksheet","Amount","Fund No.",$C$4,"Plan No.",Plan_Filter,"G/L Account No.",$E631,"Department Code",Dept_Filter)*-1</t>
  </si>
  <si>
    <t>=K631-I631</t>
  </si>
  <si>
    <t>=IF(I631=0,0,1)</t>
  </si>
  <si>
    <t>=IF(K631=0,0,1)</t>
  </si>
  <si>
    <t>=P631+Q631</t>
  </si>
  <si>
    <t>=IF(R632=0,"HIDE","SHOW")</t>
  </si>
  <si>
    <t>="""Mission ERP"",""GBRA"",""15"",""1"",""12500"""</t>
  </si>
  <si>
    <t>=TEXT(NF(D632,"No."),"00000")</t>
  </si>
  <si>
    <t>=NF(D632,"Name")</t>
  </si>
  <si>
    <t>=NL("Sum","G/L Entry","Amount","Fund No.",$C$4,"Budget Plan No.",PYPLAN_FILTER,"G/L Account No.",$E632,"Department Code",Dept_Filter,"Transaction Type","Budget")*-1</t>
  </si>
  <si>
    <t>=NL("Sum","Version LIne Worksheet","Amount","Fund No.",$C$4,"Plan No.",Plan_Filter,"G/L Account No.",$E632,"Department Code",Dept_Filter)*-1</t>
  </si>
  <si>
    <t>=K632-I632</t>
  </si>
  <si>
    <t>=IF(I632=0,0,1)</t>
  </si>
  <si>
    <t>=IF(K632=0,0,1)</t>
  </si>
  <si>
    <t>=P632+Q632</t>
  </si>
  <si>
    <t>=IF(R633=0,"HIDE","SHOW")</t>
  </si>
  <si>
    <t>="""Mission ERP"",""GBRA"",""15"",""1"",""12530"""</t>
  </si>
  <si>
    <t>=TEXT(NF(D633,"No."),"00000")</t>
  </si>
  <si>
    <t>=NF(D633,"Name")</t>
  </si>
  <si>
    <t>=NL("Sum","G/L Entry","Amount","Fund No.",$C$4,"Budget Plan No.",PYPLAN_FILTER,"G/L Account No.",$E633,"Department Code",Dept_Filter,"Transaction Type","Budget")*-1</t>
  </si>
  <si>
    <t>=NL("Sum","Version LIne Worksheet","Amount","Fund No.",$C$4,"Plan No.",Plan_Filter,"G/L Account No.",$E633,"Department Code",Dept_Filter)*-1</t>
  </si>
  <si>
    <t>=K633-I633</t>
  </si>
  <si>
    <t>=IF(I633=0,0,1)</t>
  </si>
  <si>
    <t>=IF(K633=0,0,1)</t>
  </si>
  <si>
    <t>=P633+Q633</t>
  </si>
  <si>
    <t>=IF(R634=0,"HIDE","SHOW")</t>
  </si>
  <si>
    <t>="""Mission ERP"",""GBRA"",""15"",""1"",""12531"""</t>
  </si>
  <si>
    <t>=TEXT(NF(D634,"No."),"00000")</t>
  </si>
  <si>
    <t>=NF(D634,"Name")</t>
  </si>
  <si>
    <t>=NL("Sum","G/L Entry","Amount","Fund No.",$C$4,"Budget Plan No.",PYPLAN_FILTER,"G/L Account No.",$E634,"Department Code",Dept_Filter,"Transaction Type","Budget")*-1</t>
  </si>
  <si>
    <t>=NL("Sum","Version LIne Worksheet","Amount","Fund No.",$C$4,"Plan No.",Plan_Filter,"G/L Account No.",$E634,"Department Code",Dept_Filter)*-1</t>
  </si>
  <si>
    <t>=K634-I634</t>
  </si>
  <si>
    <t>=IF(I634=0,0,1)</t>
  </si>
  <si>
    <t>=IF(K634=0,0,1)</t>
  </si>
  <si>
    <t>=P634+Q634</t>
  </si>
  <si>
    <t>=IF(R635=0,"HIDE","SHOW")</t>
  </si>
  <si>
    <t>="""Mission ERP"",""GBRA"",""15"",""1"",""12532"""</t>
  </si>
  <si>
    <t>=TEXT(NF(D635,"No."),"00000")</t>
  </si>
  <si>
    <t>=NF(D635,"Name")</t>
  </si>
  <si>
    <t>=NL("Sum","G/L Entry","Amount","Fund No.",$C$4,"Budget Plan No.",PYPLAN_FILTER,"G/L Account No.",$E635,"Department Code",Dept_Filter,"Transaction Type","Budget")*-1</t>
  </si>
  <si>
    <t>=NL("Sum","Version LIne Worksheet","Amount","Fund No.",$C$4,"Plan No.",Plan_Filter,"G/L Account No.",$E635,"Department Code",Dept_Filter)*-1</t>
  </si>
  <si>
    <t>=K635-I635</t>
  </si>
  <si>
    <t>=IF(I635=0,0,1)</t>
  </si>
  <si>
    <t>=IF(K635=0,0,1)</t>
  </si>
  <si>
    <t>=P635+Q635</t>
  </si>
  <si>
    <t>=IF(R636=0,"HIDE","SHOW")</t>
  </si>
  <si>
    <t>="""Mission ERP"",""GBRA"",""15"",""1"",""12533"""</t>
  </si>
  <si>
    <t>=TEXT(NF(D636,"No."),"00000")</t>
  </si>
  <si>
    <t>=NF(D636,"Name")</t>
  </si>
  <si>
    <t>=NL("Sum","G/L Entry","Amount","Fund No.",$C$4,"Budget Plan No.",PYPLAN_FILTER,"G/L Account No.",$E636,"Department Code",Dept_Filter,"Transaction Type","Budget")*-1</t>
  </si>
  <si>
    <t>=NL("Sum","Version LIne Worksheet","Amount","Fund No.",$C$4,"Plan No.",Plan_Filter,"G/L Account No.",$E636,"Department Code",Dept_Filter)*-1</t>
  </si>
  <si>
    <t>=K636-I636</t>
  </si>
  <si>
    <t>=IF(I636=0,0,1)</t>
  </si>
  <si>
    <t>=IF(K636=0,0,1)</t>
  </si>
  <si>
    <t>=P636+Q636</t>
  </si>
  <si>
    <t>=IF(R637=0,"HIDE","SHOW")</t>
  </si>
  <si>
    <t>="""Mission ERP"",""GBRA"",""15"",""1"",""12534"""</t>
  </si>
  <si>
    <t>=TEXT(NF(D637,"No."),"00000")</t>
  </si>
  <si>
    <t>=NF(D637,"Name")</t>
  </si>
  <si>
    <t>=NL("Sum","G/L Entry","Amount","Fund No.",$C$4,"Budget Plan No.",PYPLAN_FILTER,"G/L Account No.",$E637,"Department Code",Dept_Filter,"Transaction Type","Budget")*-1</t>
  </si>
  <si>
    <t>=NL("Sum","Version LIne Worksheet","Amount","Fund No.",$C$4,"Plan No.",Plan_Filter,"G/L Account No.",$E637,"Department Code",Dept_Filter)*-1</t>
  </si>
  <si>
    <t>=K637-I637</t>
  </si>
  <si>
    <t>=IF(I637=0,0,1)</t>
  </si>
  <si>
    <t>=IF(K637=0,0,1)</t>
  </si>
  <si>
    <t>=P637+Q637</t>
  </si>
  <si>
    <t>=IF(R638=0,"HIDE","SHOW")</t>
  </si>
  <si>
    <t>="""Mission ERP"",""GBRA"",""15"",""1"",""12535"""</t>
  </si>
  <si>
    <t>=TEXT(NF(D638,"No."),"00000")</t>
  </si>
  <si>
    <t>=NF(D638,"Name")</t>
  </si>
  <si>
    <t>=NL("Sum","G/L Entry","Amount","Fund No.",$C$4,"Budget Plan No.",PYPLAN_FILTER,"G/L Account No.",$E638,"Department Code",Dept_Filter,"Transaction Type","Budget")*-1</t>
  </si>
  <si>
    <t>=NL("Sum","Version LIne Worksheet","Amount","Fund No.",$C$4,"Plan No.",Plan_Filter,"G/L Account No.",$E638,"Department Code",Dept_Filter)*-1</t>
  </si>
  <si>
    <t>=K638-I638</t>
  </si>
  <si>
    <t>=IF(I638=0,0,1)</t>
  </si>
  <si>
    <t>=IF(K638=0,0,1)</t>
  </si>
  <si>
    <t>=P638+Q638</t>
  </si>
  <si>
    <t>=IF(R639=0,"HIDE","SHOW")</t>
  </si>
  <si>
    <t>="""Mission ERP"",""GBRA"",""15"",""1"",""12536"""</t>
  </si>
  <si>
    <t>=TEXT(NF(D639,"No."),"00000")</t>
  </si>
  <si>
    <t>=NF(D639,"Name")</t>
  </si>
  <si>
    <t>=NL("Sum","G/L Entry","Amount","Fund No.",$C$4,"Budget Plan No.",PYPLAN_FILTER,"G/L Account No.",$E639,"Department Code",Dept_Filter,"Transaction Type","Budget")*-1</t>
  </si>
  <si>
    <t>=NL("Sum","Version LIne Worksheet","Amount","Fund No.",$C$4,"Plan No.",Plan_Filter,"G/L Account No.",$E639,"Department Code",Dept_Filter)*-1</t>
  </si>
  <si>
    <t>=K639-I639</t>
  </si>
  <si>
    <t>=IF(I639=0,0,1)</t>
  </si>
  <si>
    <t>=IF(K639=0,0,1)</t>
  </si>
  <si>
    <t>=P639+Q639</t>
  </si>
  <si>
    <t>=IF(R640=0,"HIDE","SHOW")</t>
  </si>
  <si>
    <t>="""Mission ERP"",""GBRA"",""15"",""1"",""12537"""</t>
  </si>
  <si>
    <t>=TEXT(NF(D640,"No."),"00000")</t>
  </si>
  <si>
    <t>=NF(D640,"Name")</t>
  </si>
  <si>
    <t>=NL("Sum","G/L Entry","Amount","Fund No.",$C$4,"Budget Plan No.",PYPLAN_FILTER,"G/L Account No.",$E640,"Department Code",Dept_Filter,"Transaction Type","Budget")*-1</t>
  </si>
  <si>
    <t>=NL("Sum","Version LIne Worksheet","Amount","Fund No.",$C$4,"Plan No.",Plan_Filter,"G/L Account No.",$E640,"Department Code",Dept_Filter)*-1</t>
  </si>
  <si>
    <t>=K640-I640</t>
  </si>
  <si>
    <t>=IF(I640=0,0,1)</t>
  </si>
  <si>
    <t>=IF(K640=0,0,1)</t>
  </si>
  <si>
    <t>=P640+Q640</t>
  </si>
  <si>
    <t>=IF(R641=0,"HIDE","SHOW")</t>
  </si>
  <si>
    <t>="""Mission ERP"",""GBRA"",""15"",""1"",""12538"""</t>
  </si>
  <si>
    <t>=TEXT(NF(D641,"No."),"00000")</t>
  </si>
  <si>
    <t>=NF(D641,"Name")</t>
  </si>
  <si>
    <t>=NL("Sum","G/L Entry","Amount","Fund No.",$C$4,"Budget Plan No.",PYPLAN_FILTER,"G/L Account No.",$E641,"Department Code",Dept_Filter,"Transaction Type","Budget")*-1</t>
  </si>
  <si>
    <t>=NL("Sum","Version LIne Worksheet","Amount","Fund No.",$C$4,"Plan No.",Plan_Filter,"G/L Account No.",$E641,"Department Code",Dept_Filter)*-1</t>
  </si>
  <si>
    <t>=K641-I641</t>
  </si>
  <si>
    <t>=IF(I641=0,0,1)</t>
  </si>
  <si>
    <t>=IF(K641=0,0,1)</t>
  </si>
  <si>
    <t>=P641+Q641</t>
  </si>
  <si>
    <t>=IF(R642=0,"HIDE","SHOW")</t>
  </si>
  <si>
    <t>="""Mission ERP"",""GBRA"",""15"",""1"",""12539"""</t>
  </si>
  <si>
    <t>=TEXT(NF(D642,"No."),"00000")</t>
  </si>
  <si>
    <t>=NF(D642,"Name")</t>
  </si>
  <si>
    <t>=NL("Sum","G/L Entry","Amount","Fund No.",$C$4,"Budget Plan No.",PYPLAN_FILTER,"G/L Account No.",$E642,"Department Code",Dept_Filter,"Transaction Type","Budget")*-1</t>
  </si>
  <si>
    <t>=NL("Sum","Version LIne Worksheet","Amount","Fund No.",$C$4,"Plan No.",Plan_Filter,"G/L Account No.",$E642,"Department Code",Dept_Filter)*-1</t>
  </si>
  <si>
    <t>=K642-I642</t>
  </si>
  <si>
    <t>=IF(I642=0,0,1)</t>
  </si>
  <si>
    <t>=IF(K642=0,0,1)</t>
  </si>
  <si>
    <t>=P642+Q642</t>
  </si>
  <si>
    <t>=IF(R643=0,"HIDE","SHOW")</t>
  </si>
  <si>
    <t>="""Mission ERP"",""GBRA"",""15"",""1"",""12540"""</t>
  </si>
  <si>
    <t>=TEXT(NF(D643,"No."),"00000")</t>
  </si>
  <si>
    <t>=NF(D643,"Name")</t>
  </si>
  <si>
    <t>=NL("Sum","G/L Entry","Amount","Fund No.",$C$4,"Budget Plan No.",PYPLAN_FILTER,"G/L Account No.",$E643,"Department Code",Dept_Filter,"Transaction Type","Budget")*-1</t>
  </si>
  <si>
    <t>=NL("Sum","Version LIne Worksheet","Amount","Fund No.",$C$4,"Plan No.",Plan_Filter,"G/L Account No.",$E643,"Department Code",Dept_Filter)*-1</t>
  </si>
  <si>
    <t>=K643-I643</t>
  </si>
  <si>
    <t>=IF(I643=0,0,1)</t>
  </si>
  <si>
    <t>=IF(K643=0,0,1)</t>
  </si>
  <si>
    <t>=P643+Q643</t>
  </si>
  <si>
    <t>=IF(R644=0,"HIDE","SHOW")</t>
  </si>
  <si>
    <t>="""Mission ERP"",""GBRA"",""15"",""1"",""12541"""</t>
  </si>
  <si>
    <t>=TEXT(NF(D644,"No."),"00000")</t>
  </si>
  <si>
    <t>=NF(D644,"Name")</t>
  </si>
  <si>
    <t>=NL("Sum","G/L Entry","Amount","Fund No.",$C$4,"Budget Plan No.",PYPLAN_FILTER,"G/L Account No.",$E644,"Department Code",Dept_Filter,"Transaction Type","Budget")*-1</t>
  </si>
  <si>
    <t>=NL("Sum","Version LIne Worksheet","Amount","Fund No.",$C$4,"Plan No.",Plan_Filter,"G/L Account No.",$E644,"Department Code",Dept_Filter)*-1</t>
  </si>
  <si>
    <t>=K644-I644</t>
  </si>
  <si>
    <t>=IF(I644=0,0,1)</t>
  </si>
  <si>
    <t>=IF(K644=0,0,1)</t>
  </si>
  <si>
    <t>=P644+Q644</t>
  </si>
  <si>
    <t>=IF(R645=0,"HIDE","SHOW")</t>
  </si>
  <si>
    <t>="""Mission ERP"",""GBRA"",""15"",""1"",""12542"""</t>
  </si>
  <si>
    <t>=TEXT(NF(D645,"No."),"00000")</t>
  </si>
  <si>
    <t>=NF(D645,"Name")</t>
  </si>
  <si>
    <t>=NL("Sum","G/L Entry","Amount","Fund No.",$C$4,"Budget Plan No.",PYPLAN_FILTER,"G/L Account No.",$E645,"Department Code",Dept_Filter,"Transaction Type","Budget")*-1</t>
  </si>
  <si>
    <t>=NL("Sum","Version LIne Worksheet","Amount","Fund No.",$C$4,"Plan No.",Plan_Filter,"G/L Account No.",$E645,"Department Code",Dept_Filter)*-1</t>
  </si>
  <si>
    <t>=K645-I645</t>
  </si>
  <si>
    <t>=IF(I645=0,0,1)</t>
  </si>
  <si>
    <t>=IF(K645=0,0,1)</t>
  </si>
  <si>
    <t>=P645+Q645</t>
  </si>
  <si>
    <t>=IF(R646=0,"HIDE","SHOW")</t>
  </si>
  <si>
    <t>="""Mission ERP"",""GBRA"",""15"",""1"",""12543"""</t>
  </si>
  <si>
    <t>=TEXT(NF(D646,"No."),"00000")</t>
  </si>
  <si>
    <t>=NF(D646,"Name")</t>
  </si>
  <si>
    <t>=NL("Sum","G/L Entry","Amount","Fund No.",$C$4,"Budget Plan No.",PYPLAN_FILTER,"G/L Account No.",$E646,"Department Code",Dept_Filter,"Transaction Type","Budget")*-1</t>
  </si>
  <si>
    <t>=NL("Sum","Version LIne Worksheet","Amount","Fund No.",$C$4,"Plan No.",Plan_Filter,"G/L Account No.",$E646,"Department Code",Dept_Filter)*-1</t>
  </si>
  <si>
    <t>=K646-I646</t>
  </si>
  <si>
    <t>=IF(I646=0,0,1)</t>
  </si>
  <si>
    <t>=IF(K646=0,0,1)</t>
  </si>
  <si>
    <t>=P646+Q646</t>
  </si>
  <si>
    <t>=IF(R647=0,"HIDE","SHOW")</t>
  </si>
  <si>
    <t>="""Mission ERP"",""GBRA"",""15"",""1"",""12544"""</t>
  </si>
  <si>
    <t>=TEXT(NF(D647,"No."),"00000")</t>
  </si>
  <si>
    <t>=NF(D647,"Name")</t>
  </si>
  <si>
    <t>=NL("Sum","G/L Entry","Amount","Fund No.",$C$4,"Budget Plan No.",PYPLAN_FILTER,"G/L Account No.",$E647,"Department Code",Dept_Filter,"Transaction Type","Budget")*-1</t>
  </si>
  <si>
    <t>=NL("Sum","Version LIne Worksheet","Amount","Fund No.",$C$4,"Plan No.",Plan_Filter,"G/L Account No.",$E647,"Department Code",Dept_Filter)*-1</t>
  </si>
  <si>
    <t>=K647-I647</t>
  </si>
  <si>
    <t>=IF(I647=0,0,1)</t>
  </si>
  <si>
    <t>=IF(K647=0,0,1)</t>
  </si>
  <si>
    <t>=P647+Q647</t>
  </si>
  <si>
    <t>=IF(R648=0,"HIDE","SHOW")</t>
  </si>
  <si>
    <t>="""Mission ERP"",""GBRA"",""15"",""1"",""12545"""</t>
  </si>
  <si>
    <t>=TEXT(NF(D648,"No."),"00000")</t>
  </si>
  <si>
    <t>=NF(D648,"Name")</t>
  </si>
  <si>
    <t>=NL("Sum","G/L Entry","Amount","Fund No.",$C$4,"Budget Plan No.",PYPLAN_FILTER,"G/L Account No.",$E648,"Department Code",Dept_Filter,"Transaction Type","Budget")*-1</t>
  </si>
  <si>
    <t>=NL("Sum","Version LIne Worksheet","Amount","Fund No.",$C$4,"Plan No.",Plan_Filter,"G/L Account No.",$E648,"Department Code",Dept_Filter)*-1</t>
  </si>
  <si>
    <t>=K648-I648</t>
  </si>
  <si>
    <t>=IF(I648=0,0,1)</t>
  </si>
  <si>
    <t>=IF(K648=0,0,1)</t>
  </si>
  <si>
    <t>=P648+Q648</t>
  </si>
  <si>
    <t>=IF(R649=0,"HIDE","SHOW")</t>
  </si>
  <si>
    <t>="""Mission ERP"",""GBRA"",""15"",""1"",""12546"""</t>
  </si>
  <si>
    <t>=TEXT(NF(D649,"No."),"00000")</t>
  </si>
  <si>
    <t>=NF(D649,"Name")</t>
  </si>
  <si>
    <t>=NL("Sum","G/L Entry","Amount","Fund No.",$C$4,"Budget Plan No.",PYPLAN_FILTER,"G/L Account No.",$E649,"Department Code",Dept_Filter,"Transaction Type","Budget")*-1</t>
  </si>
  <si>
    <t>=NL("Sum","Version LIne Worksheet","Amount","Fund No.",$C$4,"Plan No.",Plan_Filter,"G/L Account No.",$E649,"Department Code",Dept_Filter)*-1</t>
  </si>
  <si>
    <t>=K649-I649</t>
  </si>
  <si>
    <t>=IF(I649=0,0,1)</t>
  </si>
  <si>
    <t>=IF(K649=0,0,1)</t>
  </si>
  <si>
    <t>=P649+Q649</t>
  </si>
  <si>
    <t>=IF(R650=0,"HIDE","SHOW")</t>
  </si>
  <si>
    <t>="""Mission ERP"",""GBRA"",""15"",""1"",""12547"""</t>
  </si>
  <si>
    <t>=TEXT(NF(D650,"No."),"00000")</t>
  </si>
  <si>
    <t>=NF(D650,"Name")</t>
  </si>
  <si>
    <t>=NL("Sum","G/L Entry","Amount","Fund No.",$C$4,"Budget Plan No.",PYPLAN_FILTER,"G/L Account No.",$E650,"Department Code",Dept_Filter,"Transaction Type","Budget")*-1</t>
  </si>
  <si>
    <t>=NL("Sum","Version LIne Worksheet","Amount","Fund No.",$C$4,"Plan No.",Plan_Filter,"G/L Account No.",$E650,"Department Code",Dept_Filter)*-1</t>
  </si>
  <si>
    <t>=K650-I650</t>
  </si>
  <si>
    <t>=IF(I650=0,0,1)</t>
  </si>
  <si>
    <t>=IF(K650=0,0,1)</t>
  </si>
  <si>
    <t>=P650+Q650</t>
  </si>
  <si>
    <t>=IF(R651=0,"HIDE","SHOW")</t>
  </si>
  <si>
    <t>="""Mission ERP"",""GBRA"",""15"",""1"",""12548"""</t>
  </si>
  <si>
    <t>=TEXT(NF(D651,"No."),"00000")</t>
  </si>
  <si>
    <t>=NF(D651,"Name")</t>
  </si>
  <si>
    <t>=NL("Sum","G/L Entry","Amount","Fund No.",$C$4,"Budget Plan No.",PYPLAN_FILTER,"G/L Account No.",$E651,"Department Code",Dept_Filter,"Transaction Type","Budget")*-1</t>
  </si>
  <si>
    <t>=NL("Sum","Version LIne Worksheet","Amount","Fund No.",$C$4,"Plan No.",Plan_Filter,"G/L Account No.",$E651,"Department Code",Dept_Filter)*-1</t>
  </si>
  <si>
    <t>=K651-I651</t>
  </si>
  <si>
    <t>=IF(I651=0,0,1)</t>
  </si>
  <si>
    <t>=IF(K651=0,0,1)</t>
  </si>
  <si>
    <t>=P651+Q651</t>
  </si>
  <si>
    <t>=IF(R652=0,"HIDE","SHOW")</t>
  </si>
  <si>
    <t>="""Mission ERP"",""GBRA"",""15"",""1"",""12549"""</t>
  </si>
  <si>
    <t>=TEXT(NF(D652,"No."),"00000")</t>
  </si>
  <si>
    <t>=NF(D652,"Name")</t>
  </si>
  <si>
    <t>=NL("Sum","G/L Entry","Amount","Fund No.",$C$4,"Budget Plan No.",PYPLAN_FILTER,"G/L Account No.",$E652,"Department Code",Dept_Filter,"Transaction Type","Budget")*-1</t>
  </si>
  <si>
    <t>=NL("Sum","Version LIne Worksheet","Amount","Fund No.",$C$4,"Plan No.",Plan_Filter,"G/L Account No.",$E652,"Department Code",Dept_Filter)*-1</t>
  </si>
  <si>
    <t>=K652-I652</t>
  </si>
  <si>
    <t>=IF(I652=0,0,1)</t>
  </si>
  <si>
    <t>=IF(K652=0,0,1)</t>
  </si>
  <si>
    <t>=P652+Q652</t>
  </si>
  <si>
    <t>=IF(R653=0,"HIDE","SHOW")</t>
  </si>
  <si>
    <t>="""Mission ERP"",""GBRA"",""15"",""1"",""12550"""</t>
  </si>
  <si>
    <t>=TEXT(NF(D653,"No."),"00000")</t>
  </si>
  <si>
    <t>=NF(D653,"Name")</t>
  </si>
  <si>
    <t>=NL("Sum","G/L Entry","Amount","Fund No.",$C$4,"Budget Plan No.",PYPLAN_FILTER,"G/L Account No.",$E653,"Department Code",Dept_Filter,"Transaction Type","Budget")*-1</t>
  </si>
  <si>
    <t>=NL("Sum","Version LIne Worksheet","Amount","Fund No.",$C$4,"Plan No.",Plan_Filter,"G/L Account No.",$E653,"Department Code",Dept_Filter)*-1</t>
  </si>
  <si>
    <t>=K653-I653</t>
  </si>
  <si>
    <t>=IF(I653=0,0,1)</t>
  </si>
  <si>
    <t>=IF(K653=0,0,1)</t>
  </si>
  <si>
    <t>=P653+Q653</t>
  </si>
  <si>
    <t>=IF(R654=0,"HIDE","SHOW")</t>
  </si>
  <si>
    <t>="""Mission ERP"",""GBRA"",""15"",""1"",""12551"""</t>
  </si>
  <si>
    <t>=TEXT(NF(D654,"No."),"00000")</t>
  </si>
  <si>
    <t>=NF(D654,"Name")</t>
  </si>
  <si>
    <t>=NL("Sum","G/L Entry","Amount","Fund No.",$C$4,"Budget Plan No.",PYPLAN_FILTER,"G/L Account No.",$E654,"Department Code",Dept_Filter,"Transaction Type","Budget")*-1</t>
  </si>
  <si>
    <t>=NL("Sum","Version LIne Worksheet","Amount","Fund No.",$C$4,"Plan No.",Plan_Filter,"G/L Account No.",$E654,"Department Code",Dept_Filter)*-1</t>
  </si>
  <si>
    <t>=K654-I654</t>
  </si>
  <si>
    <t>=IF(I654=0,0,1)</t>
  </si>
  <si>
    <t>=IF(K654=0,0,1)</t>
  </si>
  <si>
    <t>=P654+Q654</t>
  </si>
  <si>
    <t>=IF(R655=0,"HIDE","SHOW")</t>
  </si>
  <si>
    <t>="""Mission ERP"",""GBRA"",""15"",""1"",""12552"""</t>
  </si>
  <si>
    <t>=TEXT(NF(D655,"No."),"00000")</t>
  </si>
  <si>
    <t>=NF(D655,"Name")</t>
  </si>
  <si>
    <t>=NL("Sum","G/L Entry","Amount","Fund No.",$C$4,"Budget Plan No.",PYPLAN_FILTER,"G/L Account No.",$E655,"Department Code",Dept_Filter,"Transaction Type","Budget")*-1</t>
  </si>
  <si>
    <t>=NL("Sum","Version LIne Worksheet","Amount","Fund No.",$C$4,"Plan No.",Plan_Filter,"G/L Account No.",$E655,"Department Code",Dept_Filter)*-1</t>
  </si>
  <si>
    <t>=K655-I655</t>
  </si>
  <si>
    <t>=IF(I655=0,0,1)</t>
  </si>
  <si>
    <t>=IF(K655=0,0,1)</t>
  </si>
  <si>
    <t>=P655+Q655</t>
  </si>
  <si>
    <t>=IF(R656=0,"HIDE","SHOW")</t>
  </si>
  <si>
    <t>="""Mission ERP"",""GBRA"",""15"",""1"",""12553"""</t>
  </si>
  <si>
    <t>=TEXT(NF(D656,"No."),"00000")</t>
  </si>
  <si>
    <t>=NF(D656,"Name")</t>
  </si>
  <si>
    <t>=NL("Sum","G/L Entry","Amount","Fund No.",$C$4,"Budget Plan No.",PYPLAN_FILTER,"G/L Account No.",$E656,"Department Code",Dept_Filter,"Transaction Type","Budget")*-1</t>
  </si>
  <si>
    <t>=NL("Sum","Version LIne Worksheet","Amount","Fund No.",$C$4,"Plan No.",Plan_Filter,"G/L Account No.",$E656,"Department Code",Dept_Filter)*-1</t>
  </si>
  <si>
    <t>=K656-I656</t>
  </si>
  <si>
    <t>=IF(I656=0,0,1)</t>
  </si>
  <si>
    <t>=IF(K656=0,0,1)</t>
  </si>
  <si>
    <t>=P656+Q656</t>
  </si>
  <si>
    <t>=IF(R657=0,"HIDE","SHOW")</t>
  </si>
  <si>
    <t>="""Mission ERP"",""GBRA"",""15"",""1"",""12554"""</t>
  </si>
  <si>
    <t>=TEXT(NF(D657,"No."),"00000")</t>
  </si>
  <si>
    <t>=NF(D657,"Name")</t>
  </si>
  <si>
    <t>=NL("Sum","G/L Entry","Amount","Fund No.",$C$4,"Budget Plan No.",PYPLAN_FILTER,"G/L Account No.",$E657,"Department Code",Dept_Filter,"Transaction Type","Budget")*-1</t>
  </si>
  <si>
    <t>=NL("Sum","Version LIne Worksheet","Amount","Fund No.",$C$4,"Plan No.",Plan_Filter,"G/L Account No.",$E657,"Department Code",Dept_Filter)*-1</t>
  </si>
  <si>
    <t>=K657-I657</t>
  </si>
  <si>
    <t>=IF(I657=0,0,1)</t>
  </si>
  <si>
    <t>=IF(K657=0,0,1)</t>
  </si>
  <si>
    <t>=P657+Q657</t>
  </si>
  <si>
    <t>=IF(R658=0,"HIDE","SHOW")</t>
  </si>
  <si>
    <t>="""Mission ERP"",""GBRA"",""15"",""1"",""24201"""</t>
  </si>
  <si>
    <t>=TEXT(NF(D658,"No."),"00000")</t>
  </si>
  <si>
    <t>=NF(D658,"Name")</t>
  </si>
  <si>
    <t>=NL("Sum","G/L Entry","Amount","Fund No.",$C$4,"Budget Plan No.",PYPLAN_FILTER,"G/L Account No.",$E658,"Department Code",Dept_Filter,"Transaction Type","Budget")*-1</t>
  </si>
  <si>
    <t>=NL("Sum","Version LIne Worksheet","Amount","Fund No.",$C$4,"Plan No.",Plan_Filter,"G/L Account No.",$E658,"Department Code",Dept_Filter)*-1</t>
  </si>
  <si>
    <t>=K658-I658</t>
  </si>
  <si>
    <t>=IF(I658=0,0,1)</t>
  </si>
  <si>
    <t>=IF(K658=0,0,1)</t>
  </si>
  <si>
    <t>=P658+Q658</t>
  </si>
  <si>
    <t>=IF(R660=0,"HIDE","SHOW")</t>
  </si>
  <si>
    <t>=CONCATENATE("Total ",F630)</t>
  </si>
  <si>
    <t>=SUM(I631:I659)</t>
  </si>
  <si>
    <t>=SUM(K631:K659)</t>
  </si>
  <si>
    <t>=K660-I660</t>
  </si>
  <si>
    <t>=IF(I660=0,0,1)</t>
  </si>
  <si>
    <t>=IF(K660=0,0,1)</t>
  </si>
  <si>
    <t>=P660+Q660</t>
  </si>
  <si>
    <t>=IF(R662=0,"HIDE","SHOW")</t>
  </si>
  <si>
    <t>=I628+I660</t>
  </si>
  <si>
    <t>=K628+K660</t>
  </si>
  <si>
    <t>=K662-I662</t>
  </si>
  <si>
    <t>=IF(I662=0,0,1)</t>
  </si>
  <si>
    <t>=IF(K662=0,0,1)</t>
  </si>
  <si>
    <t>=P662+Q662</t>
  </si>
  <si>
    <t>=B736</t>
  </si>
  <si>
    <t>=IF(R666=0,"HIDE","SHOW")</t>
  </si>
  <si>
    <t>=NL("Rows","G/L Account",,"No.",C666)</t>
  </si>
  <si>
    <t>=TEXT(NF(D666,"No."),"00000")</t>
  </si>
  <si>
    <t>=NF(D666,"Name")</t>
  </si>
  <si>
    <t>=NL("Sum","G/L Entry","Amount","Fund No.",$C$4,"Budget Plan No.",PYPLAN_FILTER,"G/L Account No.",$E666,"Department Code",Dept_Filter,"Transaction Type","Budget")</t>
  </si>
  <si>
    <t>=NL("Sum","Version LIne Worksheet","Amount","Fund No.",$C$4,"Plan No.",Plan_Filter,"G/L Account No.",$E666,"Department Code",Dept_Filter)</t>
  </si>
  <si>
    <t>=K666-I666</t>
  </si>
  <si>
    <t>=IF(I666=0,0,1)</t>
  </si>
  <si>
    <t>=IF(K666=0,0,1)</t>
  </si>
  <si>
    <t>=P666+Q666</t>
  </si>
  <si>
    <t>=IF(R667=0,"HIDE","SHOW")</t>
  </si>
  <si>
    <t>="""Mission ERP"",""GBRA"",""15"",""1"",""21102"""</t>
  </si>
  <si>
    <t>=TEXT(NF(D667,"No."),"00000")</t>
  </si>
  <si>
    <t>=NF(D667,"Name")</t>
  </si>
  <si>
    <t>=NL("Sum","G/L Entry","Amount","Fund No.",$C$4,"Budget Plan No.",PYPLAN_FILTER,"G/L Account No.",$E667,"Department Code",Dept_Filter,"Transaction Type","Budget")</t>
  </si>
  <si>
    <t>=NL("Sum","Version LIne Worksheet","Amount","Fund No.",$C$4,"Plan No.",Plan_Filter,"G/L Account No.",$E667,"Department Code",Dept_Filter)</t>
  </si>
  <si>
    <t>=K667-I667</t>
  </si>
  <si>
    <t>=IF(I667=0,0,1)</t>
  </si>
  <si>
    <t>=IF(K667=0,0,1)</t>
  </si>
  <si>
    <t>=P667+Q667</t>
  </si>
  <si>
    <t>=IF(R668=0,"HIDE","SHOW")</t>
  </si>
  <si>
    <t>="""Mission ERP"",""GBRA"",""15"",""1"",""21103"""</t>
  </si>
  <si>
    <t>=TEXT(NF(D668,"No."),"00000")</t>
  </si>
  <si>
    <t>=NF(D668,"Name")</t>
  </si>
  <si>
    <t>=NL("Sum","G/L Entry","Amount","Fund No.",$C$4,"Budget Plan No.",PYPLAN_FILTER,"G/L Account No.",$E668,"Department Code",Dept_Filter,"Transaction Type","Budget")</t>
  </si>
  <si>
    <t>=NL("Sum","Version LIne Worksheet","Amount","Fund No.",$C$4,"Plan No.",Plan_Filter,"G/L Account No.",$E668,"Department Code",Dept_Filter)</t>
  </si>
  <si>
    <t>=K668-I668</t>
  </si>
  <si>
    <t>=IF(I668=0,0,1)</t>
  </si>
  <si>
    <t>=IF(K668=0,0,1)</t>
  </si>
  <si>
    <t>=P668+Q668</t>
  </si>
  <si>
    <t>=IF(R669=0,"HIDE","SHOW")</t>
  </si>
  <si>
    <t>="""Mission ERP"",""GBRA"",""15"",""1"",""21104"""</t>
  </si>
  <si>
    <t>=TEXT(NF(D669,"No."),"00000")</t>
  </si>
  <si>
    <t>=NF(D669,"Name")</t>
  </si>
  <si>
    <t>=NL("Sum","G/L Entry","Amount","Fund No.",$C$4,"Budget Plan No.",PYPLAN_FILTER,"G/L Account No.",$E669,"Department Code",Dept_Filter,"Transaction Type","Budget")</t>
  </si>
  <si>
    <t>=NL("Sum","Version LIne Worksheet","Amount","Fund No.",$C$4,"Plan No.",Plan_Filter,"G/L Account No.",$E669,"Department Code",Dept_Filter)</t>
  </si>
  <si>
    <t>=K669-I669</t>
  </si>
  <si>
    <t>=IF(I669=0,0,1)</t>
  </si>
  <si>
    <t>=IF(K669=0,0,1)</t>
  </si>
  <si>
    <t>=P669+Q669</t>
  </si>
  <si>
    <t>=IF(R670=0,"HIDE","SHOW")</t>
  </si>
  <si>
    <t>="""Mission ERP"",""GBRA"",""15"",""1"",""21105"""</t>
  </si>
  <si>
    <t>=TEXT(NF(D670,"No."),"00000")</t>
  </si>
  <si>
    <t>=NF(D670,"Name")</t>
  </si>
  <si>
    <t>=NL("Sum","G/L Entry","Amount","Fund No.",$C$4,"Budget Plan No.",PYPLAN_FILTER,"G/L Account No.",$E670,"Department Code",Dept_Filter,"Transaction Type","Budget")</t>
  </si>
  <si>
    <t>=NL("Sum","Version LIne Worksheet","Amount","Fund No.",$C$4,"Plan No.",Plan_Filter,"G/L Account No.",$E670,"Department Code",Dept_Filter)</t>
  </si>
  <si>
    <t>=K670-I670</t>
  </si>
  <si>
    <t>=IF(I670=0,0,1)</t>
  </si>
  <si>
    <t>=IF(K670=0,0,1)</t>
  </si>
  <si>
    <t>=P670+Q670</t>
  </si>
  <si>
    <t>=IF(R671=0,"HIDE","SHOW")</t>
  </si>
  <si>
    <t>="""Mission ERP"",""GBRA"",""15"",""1"",""21106"""</t>
  </si>
  <si>
    <t>=TEXT(NF(D671,"No."),"00000")</t>
  </si>
  <si>
    <t>=NF(D671,"Name")</t>
  </si>
  <si>
    <t>=NL("Sum","G/L Entry","Amount","Fund No.",$C$4,"Budget Plan No.",PYPLAN_FILTER,"G/L Account No.",$E671,"Department Code",Dept_Filter,"Transaction Type","Budget")</t>
  </si>
  <si>
    <t>=NL("Sum","Version LIne Worksheet","Amount","Fund No.",$C$4,"Plan No.",Plan_Filter,"G/L Account No.",$E671,"Department Code",Dept_Filter)</t>
  </si>
  <si>
    <t>=K671-I671</t>
  </si>
  <si>
    <t>=IF(I671=0,0,1)</t>
  </si>
  <si>
    <t>=IF(K671=0,0,1)</t>
  </si>
  <si>
    <t>=P671+Q671</t>
  </si>
  <si>
    <t>=IF(R672=0,"HIDE","SHOW")</t>
  </si>
  <si>
    <t>="""Mission ERP"",""GBRA"",""15"",""1"",""21107"""</t>
  </si>
  <si>
    <t>=TEXT(NF(D672,"No."),"00000")</t>
  </si>
  <si>
    <t>=NF(D672,"Name")</t>
  </si>
  <si>
    <t>=NL("Sum","G/L Entry","Amount","Fund No.",$C$4,"Budget Plan No.",PYPLAN_FILTER,"G/L Account No.",$E672,"Department Code",Dept_Filter,"Transaction Type","Budget")</t>
  </si>
  <si>
    <t>=NL("Sum","Version LIne Worksheet","Amount","Fund No.",$C$4,"Plan No.",Plan_Filter,"G/L Account No.",$E672,"Department Code",Dept_Filter)</t>
  </si>
  <si>
    <t>=K672-I672</t>
  </si>
  <si>
    <t>=IF(I672=0,0,1)</t>
  </si>
  <si>
    <t>=IF(K672=0,0,1)</t>
  </si>
  <si>
    <t>=P672+Q672</t>
  </si>
  <si>
    <t>=IF(R673=0,"HIDE","SHOW")</t>
  </si>
  <si>
    <t>="""Mission ERP"",""GBRA"",""15"",""1"",""21108"""</t>
  </si>
  <si>
    <t>=TEXT(NF(D673,"No."),"00000")</t>
  </si>
  <si>
    <t>=NF(D673,"Name")</t>
  </si>
  <si>
    <t>=NL("Sum","G/L Entry","Amount","Fund No.",$C$4,"Budget Plan No.",PYPLAN_FILTER,"G/L Account No.",$E673,"Department Code",Dept_Filter,"Transaction Type","Budget")</t>
  </si>
  <si>
    <t>=NL("Sum","Version LIne Worksheet","Amount","Fund No.",$C$4,"Plan No.",Plan_Filter,"G/L Account No.",$E673,"Department Code",Dept_Filter)</t>
  </si>
  <si>
    <t>=K673-I673</t>
  </si>
  <si>
    <t>=IF(I673=0,0,1)</t>
  </si>
  <si>
    <t>=IF(K673=0,0,1)</t>
  </si>
  <si>
    <t>=P673+Q673</t>
  </si>
  <si>
    <t>=IF(R674=0,"HIDE","SHOW")</t>
  </si>
  <si>
    <t>="""Mission ERP"",""GBRA"",""15"",""1"",""21109"""</t>
  </si>
  <si>
    <t>=TEXT(NF(D674,"No."),"00000")</t>
  </si>
  <si>
    <t>=NF(D674,"Name")</t>
  </si>
  <si>
    <t>=NL("Sum","G/L Entry","Amount","Fund No.",$C$4,"Budget Plan No.",PYPLAN_FILTER,"G/L Account No.",$E674,"Department Code",Dept_Filter,"Transaction Type","Budget")</t>
  </si>
  <si>
    <t>=NL("Sum","Version LIne Worksheet","Amount","Fund No.",$C$4,"Plan No.",Plan_Filter,"G/L Account No.",$E674,"Department Code",Dept_Filter)</t>
  </si>
  <si>
    <t>=K674-I674</t>
  </si>
  <si>
    <t>=IF(I674=0,0,1)</t>
  </si>
  <si>
    <t>=IF(K674=0,0,1)</t>
  </si>
  <si>
    <t>=P674+Q674</t>
  </si>
  <si>
    <t>=IF(R675=0,"HIDE","SHOW")</t>
  </si>
  <si>
    <t>="""Mission ERP"",""GBRA"",""15"",""1"",""21110"""</t>
  </si>
  <si>
    <t>=TEXT(NF(D675,"No."),"00000")</t>
  </si>
  <si>
    <t>=NF(D675,"Name")</t>
  </si>
  <si>
    <t>=NL("Sum","G/L Entry","Amount","Fund No.",$C$4,"Budget Plan No.",PYPLAN_FILTER,"G/L Account No.",$E675,"Department Code",Dept_Filter,"Transaction Type","Budget")</t>
  </si>
  <si>
    <t>=NL("Sum","Version LIne Worksheet","Amount","Fund No.",$C$4,"Plan No.",Plan_Filter,"G/L Account No.",$E675,"Department Code",Dept_Filter)</t>
  </si>
  <si>
    <t>=K675-I675</t>
  </si>
  <si>
    <t>=IF(I675=0,0,1)</t>
  </si>
  <si>
    <t>=IF(K675=0,0,1)</t>
  </si>
  <si>
    <t>=P675+Q675</t>
  </si>
  <si>
    <t>=IF(R676=0,"HIDE","SHOW")</t>
  </si>
  <si>
    <t>="""Mission ERP"",""GBRA"",""15"",""1"",""21150"""</t>
  </si>
  <si>
    <t>=TEXT(NF(D676,"No."),"00000")</t>
  </si>
  <si>
    <t>=NF(D676,"Name")</t>
  </si>
  <si>
    <t>=NL("Sum","G/L Entry","Amount","Fund No.",$C$4,"Budget Plan No.",PYPLAN_FILTER,"G/L Account No.",$E676,"Department Code",Dept_Filter,"Transaction Type","Budget")</t>
  </si>
  <si>
    <t>=NL("Sum","Version LIne Worksheet","Amount","Fund No.",$C$4,"Plan No.",Plan_Filter,"G/L Account No.",$E676,"Department Code",Dept_Filter)</t>
  </si>
  <si>
    <t>=K676-I676</t>
  </si>
  <si>
    <t>=IF(I676=0,0,1)</t>
  </si>
  <si>
    <t>=IF(K676=0,0,1)</t>
  </si>
  <si>
    <t>=P676+Q676</t>
  </si>
  <si>
    <t>=IF(R677=0,"HIDE","SHOW")</t>
  </si>
  <si>
    <t>="""Mission ERP"",""GBRA"",""15"",""1"",""21201"""</t>
  </si>
  <si>
    <t>=TEXT(NF(D677,"No."),"00000")</t>
  </si>
  <si>
    <t>=NF(D677,"Name")</t>
  </si>
  <si>
    <t>=NL("Sum","G/L Entry","Amount","Fund No.",$C$4,"Budget Plan No.",PYPLAN_FILTER,"G/L Account No.",$E677,"Department Code",Dept_Filter,"Transaction Type","Budget")</t>
  </si>
  <si>
    <t>=NL("Sum","Version LIne Worksheet","Amount","Fund No.",$C$4,"Plan No.",Plan_Filter,"G/L Account No.",$E677,"Department Code",Dept_Filter)</t>
  </si>
  <si>
    <t>=K677-I677</t>
  </si>
  <si>
    <t>=IF(I677=0,0,1)</t>
  </si>
  <si>
    <t>=IF(K677=0,0,1)</t>
  </si>
  <si>
    <t>=P677+Q677</t>
  </si>
  <si>
    <t>=IF(R678=0,"HIDE","SHOW")</t>
  </si>
  <si>
    <t>="""Mission ERP"",""GBRA"",""15"",""1"",""21202"""</t>
  </si>
  <si>
    <t>=TEXT(NF(D678,"No."),"00000")</t>
  </si>
  <si>
    <t>=NF(D678,"Name")</t>
  </si>
  <si>
    <t>=NL("Sum","G/L Entry","Amount","Fund No.",$C$4,"Budget Plan No.",PYPLAN_FILTER,"G/L Account No.",$E678,"Department Code",Dept_Filter,"Transaction Type","Budget")</t>
  </si>
  <si>
    <t>=NL("Sum","Version LIne Worksheet","Amount","Fund No.",$C$4,"Plan No.",Plan_Filter,"G/L Account No.",$E678,"Department Code",Dept_Filter)</t>
  </si>
  <si>
    <t>=K678-I678</t>
  </si>
  <si>
    <t>=IF(I678=0,0,1)</t>
  </si>
  <si>
    <t>=IF(K678=0,0,1)</t>
  </si>
  <si>
    <t>=P678+Q678</t>
  </si>
  <si>
    <t>=IF(R679=0,"HIDE","SHOW")</t>
  </si>
  <si>
    <t>="""Mission ERP"",""GBRA"",""15"",""1"",""21203"""</t>
  </si>
  <si>
    <t>=TEXT(NF(D679,"No."),"00000")</t>
  </si>
  <si>
    <t>=NF(D679,"Name")</t>
  </si>
  <si>
    <t>=NL("Sum","G/L Entry","Amount","Fund No.",$C$4,"Budget Plan No.",PYPLAN_FILTER,"G/L Account No.",$E679,"Department Code",Dept_Filter,"Transaction Type","Budget")</t>
  </si>
  <si>
    <t>=NL("Sum","Version LIne Worksheet","Amount","Fund No.",$C$4,"Plan No.",Plan_Filter,"G/L Account No.",$E679,"Department Code",Dept_Filter)</t>
  </si>
  <si>
    <t>=K679-I679</t>
  </si>
  <si>
    <t>=IF(I679=0,0,1)</t>
  </si>
  <si>
    <t>=IF(K679=0,0,1)</t>
  </si>
  <si>
    <t>=P679+Q679</t>
  </si>
  <si>
    <t>=IF(R680=0,"HIDE","SHOW")</t>
  </si>
  <si>
    <t>="""Mission ERP"",""GBRA"",""15"",""1"",""21204"""</t>
  </si>
  <si>
    <t>=TEXT(NF(D680,"No."),"00000")</t>
  </si>
  <si>
    <t>=NF(D680,"Name")</t>
  </si>
  <si>
    <t>=NL("Sum","G/L Entry","Amount","Fund No.",$C$4,"Budget Plan No.",PYPLAN_FILTER,"G/L Account No.",$E680,"Department Code",Dept_Filter,"Transaction Type","Budget")</t>
  </si>
  <si>
    <t>=NL("Sum","Version LIne Worksheet","Amount","Fund No.",$C$4,"Plan No.",Plan_Filter,"G/L Account No.",$E680,"Department Code",Dept_Filter)</t>
  </si>
  <si>
    <t>=K680-I680</t>
  </si>
  <si>
    <t>=IF(I680=0,0,1)</t>
  </si>
  <si>
    <t>=IF(K680=0,0,1)</t>
  </si>
  <si>
    <t>=P680+Q680</t>
  </si>
  <si>
    <t>=IF(R681=0,"HIDE","SHOW")</t>
  </si>
  <si>
    <t>="""Mission ERP"",""GBRA"",""15"",""1"",""21205"""</t>
  </si>
  <si>
    <t>=TEXT(NF(D681,"No."),"00000")</t>
  </si>
  <si>
    <t>=NF(D681,"Name")</t>
  </si>
  <si>
    <t>=NL("Sum","G/L Entry","Amount","Fund No.",$C$4,"Budget Plan No.",PYPLAN_FILTER,"G/L Account No.",$E681,"Department Code",Dept_Filter,"Transaction Type","Budget")</t>
  </si>
  <si>
    <t>=NL("Sum","Version LIne Worksheet","Amount","Fund No.",$C$4,"Plan No.",Plan_Filter,"G/L Account No.",$E681,"Department Code",Dept_Filter)</t>
  </si>
  <si>
    <t>=K681-I681</t>
  </si>
  <si>
    <t>=IF(I681=0,0,1)</t>
  </si>
  <si>
    <t>=IF(K681=0,0,1)</t>
  </si>
  <si>
    <t>=P681+Q681</t>
  </si>
  <si>
    <t>=IF(R682=0,"HIDE","SHOW")</t>
  </si>
  <si>
    <t>="""Mission ERP"",""GBRA"",""15"",""1"",""21206"""</t>
  </si>
  <si>
    <t>=TEXT(NF(D682,"No."),"00000")</t>
  </si>
  <si>
    <t>=NF(D682,"Name")</t>
  </si>
  <si>
    <t>=NL("Sum","G/L Entry","Amount","Fund No.",$C$4,"Budget Plan No.",PYPLAN_FILTER,"G/L Account No.",$E682,"Department Code",Dept_Filter,"Transaction Type","Budget")</t>
  </si>
  <si>
    <t>=NL("Sum","Version LIne Worksheet","Amount","Fund No.",$C$4,"Plan No.",Plan_Filter,"G/L Account No.",$E682,"Department Code",Dept_Filter)</t>
  </si>
  <si>
    <t>=K682-I682</t>
  </si>
  <si>
    <t>=IF(I682=0,0,1)</t>
  </si>
  <si>
    <t>=IF(K682=0,0,1)</t>
  </si>
  <si>
    <t>=P682+Q682</t>
  </si>
  <si>
    <t>=IF(R683=0,"HIDE","SHOW")</t>
  </si>
  <si>
    <t>="""Mission ERP"",""GBRA"",""15"",""1"",""21207"""</t>
  </si>
  <si>
    <t>=TEXT(NF(D683,"No."),"00000")</t>
  </si>
  <si>
    <t>=NF(D683,"Name")</t>
  </si>
  <si>
    <t>=NL("Sum","G/L Entry","Amount","Fund No.",$C$4,"Budget Plan No.",PYPLAN_FILTER,"G/L Account No.",$E683,"Department Code",Dept_Filter,"Transaction Type","Budget")</t>
  </si>
  <si>
    <t>=NL("Sum","Version LIne Worksheet","Amount","Fund No.",$C$4,"Plan No.",Plan_Filter,"G/L Account No.",$E683,"Department Code",Dept_Filter)</t>
  </si>
  <si>
    <t>=K683-I683</t>
  </si>
  <si>
    <t>=IF(I683=0,0,1)</t>
  </si>
  <si>
    <t>=IF(K683=0,0,1)</t>
  </si>
  <si>
    <t>=P683+Q683</t>
  </si>
  <si>
    <t>=IF(R684=0,"HIDE","SHOW")</t>
  </si>
  <si>
    <t>="""Mission ERP"",""GBRA"",""15"",""1"",""21208"""</t>
  </si>
  <si>
    <t>=TEXT(NF(D684,"No."),"00000")</t>
  </si>
  <si>
    <t>=NF(D684,"Name")</t>
  </si>
  <si>
    <t>=NL("Sum","G/L Entry","Amount","Fund No.",$C$4,"Budget Plan No.",PYPLAN_FILTER,"G/L Account No.",$E684,"Department Code",Dept_Filter,"Transaction Type","Budget")</t>
  </si>
  <si>
    <t>=NL("Sum","Version LIne Worksheet","Amount","Fund No.",$C$4,"Plan No.",Plan_Filter,"G/L Account No.",$E684,"Department Code",Dept_Filter)</t>
  </si>
  <si>
    <t>=K684-I684</t>
  </si>
  <si>
    <t>=IF(I684=0,0,1)</t>
  </si>
  <si>
    <t>=IF(K684=0,0,1)</t>
  </si>
  <si>
    <t>=P684+Q684</t>
  </si>
  <si>
    <t>=IF(R685=0,"HIDE","SHOW")</t>
  </si>
  <si>
    <t>="""Mission ERP"",""GBRA"",""15"",""1"",""21209"""</t>
  </si>
  <si>
    <t>=TEXT(NF(D685,"No."),"00000")</t>
  </si>
  <si>
    <t>=NF(D685,"Name")</t>
  </si>
  <si>
    <t>=NL("Sum","G/L Entry","Amount","Fund No.",$C$4,"Budget Plan No.",PYPLAN_FILTER,"G/L Account No.",$E685,"Department Code",Dept_Filter,"Transaction Type","Budget")</t>
  </si>
  <si>
    <t>=NL("Sum","Version LIne Worksheet","Amount","Fund No.",$C$4,"Plan No.",Plan_Filter,"G/L Account No.",$E685,"Department Code",Dept_Filter)</t>
  </si>
  <si>
    <t>=K685-I685</t>
  </si>
  <si>
    <t>=IF(I685=0,0,1)</t>
  </si>
  <si>
    <t>=IF(K685=0,0,1)</t>
  </si>
  <si>
    <t>=P685+Q685</t>
  </si>
  <si>
    <t>=IF(R686=0,"HIDE","SHOW")</t>
  </si>
  <si>
    <t>="""Mission ERP"",""GBRA"",""15"",""1"",""21210"""</t>
  </si>
  <si>
    <t>=TEXT(NF(D686,"No."),"00000")</t>
  </si>
  <si>
    <t>=NF(D686,"Name")</t>
  </si>
  <si>
    <t>=NL("Sum","G/L Entry","Amount","Fund No.",$C$4,"Budget Plan No.",PYPLAN_FILTER,"G/L Account No.",$E686,"Department Code",Dept_Filter,"Transaction Type","Budget")</t>
  </si>
  <si>
    <t>=NL("Sum","Version LIne Worksheet","Amount","Fund No.",$C$4,"Plan No.",Plan_Filter,"G/L Account No.",$E686,"Department Code",Dept_Filter)</t>
  </si>
  <si>
    <t>=K686-I686</t>
  </si>
  <si>
    <t>=IF(I686=0,0,1)</t>
  </si>
  <si>
    <t>=IF(K686=0,0,1)</t>
  </si>
  <si>
    <t>=P686+Q686</t>
  </si>
  <si>
    <t>=IF(R687=0,"HIDE","SHOW")</t>
  </si>
  <si>
    <t>="""Mission ERP"",""GBRA"",""15"",""1"",""21211"""</t>
  </si>
  <si>
    <t>=TEXT(NF(D687,"No."),"00000")</t>
  </si>
  <si>
    <t>=NF(D687,"Name")</t>
  </si>
  <si>
    <t>=NL("Sum","G/L Entry","Amount","Fund No.",$C$4,"Budget Plan No.",PYPLAN_FILTER,"G/L Account No.",$E687,"Department Code",Dept_Filter,"Transaction Type","Budget")</t>
  </si>
  <si>
    <t>=NL("Sum","Version LIne Worksheet","Amount","Fund No.",$C$4,"Plan No.",Plan_Filter,"G/L Account No.",$E687,"Department Code",Dept_Filter)</t>
  </si>
  <si>
    <t>=K687-I687</t>
  </si>
  <si>
    <t>=IF(I687=0,0,1)</t>
  </si>
  <si>
    <t>=IF(K687=0,0,1)</t>
  </si>
  <si>
    <t>=P687+Q687</t>
  </si>
  <si>
    <t>=IF(R688=0,"HIDE","SHOW")</t>
  </si>
  <si>
    <t>="""Mission ERP"",""GBRA"",""15"",""1"",""21212"""</t>
  </si>
  <si>
    <t>=TEXT(NF(D688,"No."),"00000")</t>
  </si>
  <si>
    <t>=NF(D688,"Name")</t>
  </si>
  <si>
    <t>=NL("Sum","G/L Entry","Amount","Fund No.",$C$4,"Budget Plan No.",PYPLAN_FILTER,"G/L Account No.",$E688,"Department Code",Dept_Filter,"Transaction Type","Budget")</t>
  </si>
  <si>
    <t>=NL("Sum","Version LIne Worksheet","Amount","Fund No.",$C$4,"Plan No.",Plan_Filter,"G/L Account No.",$E688,"Department Code",Dept_Filter)</t>
  </si>
  <si>
    <t>=K688-I688</t>
  </si>
  <si>
    <t>=IF(I688=0,0,1)</t>
  </si>
  <si>
    <t>=IF(K688=0,0,1)</t>
  </si>
  <si>
    <t>=P688+Q688</t>
  </si>
  <si>
    <t>=IF(R689=0,"HIDE","SHOW")</t>
  </si>
  <si>
    <t>="""Mission ERP"",""GBRA"",""15"",""1"",""21213"""</t>
  </si>
  <si>
    <t>=TEXT(NF(D689,"No."),"00000")</t>
  </si>
  <si>
    <t>=NF(D689,"Name")</t>
  </si>
  <si>
    <t>=NL("Sum","G/L Entry","Amount","Fund No.",$C$4,"Budget Plan No.",PYPLAN_FILTER,"G/L Account No.",$E689,"Department Code",Dept_Filter,"Transaction Type","Budget")</t>
  </si>
  <si>
    <t>=NL("Sum","Version LIne Worksheet","Amount","Fund No.",$C$4,"Plan No.",Plan_Filter,"G/L Account No.",$E689,"Department Code",Dept_Filter)</t>
  </si>
  <si>
    <t>=K689-I689</t>
  </si>
  <si>
    <t>=IF(I689=0,0,1)</t>
  </si>
  <si>
    <t>=IF(K689=0,0,1)</t>
  </si>
  <si>
    <t>=P689+Q689</t>
  </si>
  <si>
    <t>=IF(R690=0,"HIDE","SHOW")</t>
  </si>
  <si>
    <t>="""Mission ERP"",""GBRA"",""15"",""1"",""21214"""</t>
  </si>
  <si>
    <t>=TEXT(NF(D690,"No."),"00000")</t>
  </si>
  <si>
    <t>=NF(D690,"Name")</t>
  </si>
  <si>
    <t>=NL("Sum","G/L Entry","Amount","Fund No.",$C$4,"Budget Plan No.",PYPLAN_FILTER,"G/L Account No.",$E690,"Department Code",Dept_Filter,"Transaction Type","Budget")</t>
  </si>
  <si>
    <t>=NL("Sum","Version LIne Worksheet","Amount","Fund No.",$C$4,"Plan No.",Plan_Filter,"G/L Account No.",$E690,"Department Code",Dept_Filter)</t>
  </si>
  <si>
    <t>=K690-I690</t>
  </si>
  <si>
    <t>=IF(I690=0,0,1)</t>
  </si>
  <si>
    <t>=IF(K690=0,0,1)</t>
  </si>
  <si>
    <t>=P690+Q690</t>
  </si>
  <si>
    <t>=IF(R691=0,"HIDE","SHOW")</t>
  </si>
  <si>
    <t>="""Mission ERP"",""GBRA"",""15"",""1"",""21215"""</t>
  </si>
  <si>
    <t>=TEXT(NF(D691,"No."),"00000")</t>
  </si>
  <si>
    <t>=NF(D691,"Name")</t>
  </si>
  <si>
    <t>=NL("Sum","G/L Entry","Amount","Fund No.",$C$4,"Budget Plan No.",PYPLAN_FILTER,"G/L Account No.",$E691,"Department Code",Dept_Filter,"Transaction Type","Budget")</t>
  </si>
  <si>
    <t>=NL("Sum","Version LIne Worksheet","Amount","Fund No.",$C$4,"Plan No.",Plan_Filter,"G/L Account No.",$E691,"Department Code",Dept_Filter)</t>
  </si>
  <si>
    <t>=K691-I691</t>
  </si>
  <si>
    <t>=IF(I691=0,0,1)</t>
  </si>
  <si>
    <t>=IF(K691=0,0,1)</t>
  </si>
  <si>
    <t>=P691+Q691</t>
  </si>
  <si>
    <t>=IF(R692=0,"HIDE","SHOW")</t>
  </si>
  <si>
    <t>="""Mission ERP"",""GBRA"",""15"",""1"",""21216"""</t>
  </si>
  <si>
    <t>=TEXT(NF(D692,"No."),"00000")</t>
  </si>
  <si>
    <t>=NF(D692,"Name")</t>
  </si>
  <si>
    <t>=NL("Sum","G/L Entry","Amount","Fund No.",$C$4,"Budget Plan No.",PYPLAN_FILTER,"G/L Account No.",$E692,"Department Code",Dept_Filter,"Transaction Type","Budget")</t>
  </si>
  <si>
    <t>=NL("Sum","Version LIne Worksheet","Amount","Fund No.",$C$4,"Plan No.",Plan_Filter,"G/L Account No.",$E692,"Department Code",Dept_Filter)</t>
  </si>
  <si>
    <t>=K692-I692</t>
  </si>
  <si>
    <t>=IF(I692=0,0,1)</t>
  </si>
  <si>
    <t>=IF(K692=0,0,1)</t>
  </si>
  <si>
    <t>=P692+Q692</t>
  </si>
  <si>
    <t>=IF(R693=0,"HIDE","SHOW")</t>
  </si>
  <si>
    <t>="""Mission ERP"",""GBRA"",""15"",""1"",""21217"""</t>
  </si>
  <si>
    <t>=TEXT(NF(D693,"No."),"00000")</t>
  </si>
  <si>
    <t>=NF(D693,"Name")</t>
  </si>
  <si>
    <t>=NL("Sum","G/L Entry","Amount","Fund No.",$C$4,"Budget Plan No.",PYPLAN_FILTER,"G/L Account No.",$E693,"Department Code",Dept_Filter,"Transaction Type","Budget")</t>
  </si>
  <si>
    <t>=NL("Sum","Version LIne Worksheet","Amount","Fund No.",$C$4,"Plan No.",Plan_Filter,"G/L Account No.",$E693,"Department Code",Dept_Filter)</t>
  </si>
  <si>
    <t>=K693-I693</t>
  </si>
  <si>
    <t>=IF(I693=0,0,1)</t>
  </si>
  <si>
    <t>=IF(K693=0,0,1)</t>
  </si>
  <si>
    <t>=P693+Q693</t>
  </si>
  <si>
    <t>=IF(R694=0,"HIDE","SHOW")</t>
  </si>
  <si>
    <t>="""Mission ERP"",""GBRA"",""15"",""1"",""21218"""</t>
  </si>
  <si>
    <t>=TEXT(NF(D694,"No."),"00000")</t>
  </si>
  <si>
    <t>=NF(D694,"Name")</t>
  </si>
  <si>
    <t>=NL("Sum","G/L Entry","Amount","Fund No.",$C$4,"Budget Plan No.",PYPLAN_FILTER,"G/L Account No.",$E694,"Department Code",Dept_Filter,"Transaction Type","Budget")</t>
  </si>
  <si>
    <t>=NL("Sum","Version LIne Worksheet","Amount","Fund No.",$C$4,"Plan No.",Plan_Filter,"G/L Account No.",$E694,"Department Code",Dept_Filter)</t>
  </si>
  <si>
    <t>=K694-I694</t>
  </si>
  <si>
    <t>=IF(I694=0,0,1)</t>
  </si>
  <si>
    <t>=IF(K694=0,0,1)</t>
  </si>
  <si>
    <t>=P694+Q694</t>
  </si>
  <si>
    <t>=IF(R695=0,"HIDE","SHOW")</t>
  </si>
  <si>
    <t>="""Mission ERP"",""GBRA"",""15"",""1"",""21219"""</t>
  </si>
  <si>
    <t>=TEXT(NF(D695,"No."),"00000")</t>
  </si>
  <si>
    <t>=NF(D695,"Name")</t>
  </si>
  <si>
    <t>=NL("Sum","G/L Entry","Amount","Fund No.",$C$4,"Budget Plan No.",PYPLAN_FILTER,"G/L Account No.",$E695,"Department Code",Dept_Filter,"Transaction Type","Budget")</t>
  </si>
  <si>
    <t>=NL("Sum","Version LIne Worksheet","Amount","Fund No.",$C$4,"Plan No.",Plan_Filter,"G/L Account No.",$E695,"Department Code",Dept_Filter)</t>
  </si>
  <si>
    <t>=K695-I695</t>
  </si>
  <si>
    <t>=IF(I695=0,0,1)</t>
  </si>
  <si>
    <t>=IF(K695=0,0,1)</t>
  </si>
  <si>
    <t>=P695+Q695</t>
  </si>
  <si>
    <t>=IF(R696=0,"HIDE","SHOW")</t>
  </si>
  <si>
    <t>="""Mission ERP"",""GBRA"",""15"",""1"",""21220"""</t>
  </si>
  <si>
    <t>=TEXT(NF(D696,"No."),"00000")</t>
  </si>
  <si>
    <t>=NF(D696,"Name")</t>
  </si>
  <si>
    <t>=NL("Sum","G/L Entry","Amount","Fund No.",$C$4,"Budget Plan No.",PYPLAN_FILTER,"G/L Account No.",$E696,"Department Code",Dept_Filter,"Transaction Type","Budget")</t>
  </si>
  <si>
    <t>=NL("Sum","Version LIne Worksheet","Amount","Fund No.",$C$4,"Plan No.",Plan_Filter,"G/L Account No.",$E696,"Department Code",Dept_Filter)</t>
  </si>
  <si>
    <t>=K696-I696</t>
  </si>
  <si>
    <t>=IF(I696=0,0,1)</t>
  </si>
  <si>
    <t>=IF(K696=0,0,1)</t>
  </si>
  <si>
    <t>=P696+Q696</t>
  </si>
  <si>
    <t>=IF(R697=0,"HIDE","SHOW")</t>
  </si>
  <si>
    <t>="""Mission ERP"",""GBRA"",""15"",""1"",""21221"""</t>
  </si>
  <si>
    <t>=TEXT(NF(D697,"No."),"00000")</t>
  </si>
  <si>
    <t>=NF(D697,"Name")</t>
  </si>
  <si>
    <t>=NL("Sum","G/L Entry","Amount","Fund No.",$C$4,"Budget Plan No.",PYPLAN_FILTER,"G/L Account No.",$E697,"Department Code",Dept_Filter,"Transaction Type","Budget")</t>
  </si>
  <si>
    <t>=NL("Sum","Version LIne Worksheet","Amount","Fund No.",$C$4,"Plan No.",Plan_Filter,"G/L Account No.",$E697,"Department Code",Dept_Filter)</t>
  </si>
  <si>
    <t>=K697-I697</t>
  </si>
  <si>
    <t>=IF(I697=0,0,1)</t>
  </si>
  <si>
    <t>=IF(K697=0,0,1)</t>
  </si>
  <si>
    <t>=P697+Q697</t>
  </si>
  <si>
    <t>=IF(R698=0,"HIDE","SHOW")</t>
  </si>
  <si>
    <t>="""Mission ERP"",""GBRA"",""15"",""1"",""21222"""</t>
  </si>
  <si>
    <t>=TEXT(NF(D698,"No."),"00000")</t>
  </si>
  <si>
    <t>=NF(D698,"Name")</t>
  </si>
  <si>
    <t>=NL("Sum","G/L Entry","Amount","Fund No.",$C$4,"Budget Plan No.",PYPLAN_FILTER,"G/L Account No.",$E698,"Department Code",Dept_Filter,"Transaction Type","Budget")</t>
  </si>
  <si>
    <t>=NL("Sum","Version LIne Worksheet","Amount","Fund No.",$C$4,"Plan No.",Plan_Filter,"G/L Account No.",$E698,"Department Code",Dept_Filter)</t>
  </si>
  <si>
    <t>=K698-I698</t>
  </si>
  <si>
    <t>=IF(I698=0,0,1)</t>
  </si>
  <si>
    <t>=IF(K698=0,0,1)</t>
  </si>
  <si>
    <t>=P698+Q698</t>
  </si>
  <si>
    <t>=IF(R699=0,"HIDE","SHOW")</t>
  </si>
  <si>
    <t>="""Mission ERP"",""GBRA"",""15"",""1"",""21223"""</t>
  </si>
  <si>
    <t>=TEXT(NF(D699,"No."),"00000")</t>
  </si>
  <si>
    <t>=NF(D699,"Name")</t>
  </si>
  <si>
    <t>=NL("Sum","G/L Entry","Amount","Fund No.",$C$4,"Budget Plan No.",PYPLAN_FILTER,"G/L Account No.",$E699,"Department Code",Dept_Filter,"Transaction Type","Budget")</t>
  </si>
  <si>
    <t>=NL("Sum","Version LIne Worksheet","Amount","Fund No.",$C$4,"Plan No.",Plan_Filter,"G/L Account No.",$E699,"Department Code",Dept_Filter)</t>
  </si>
  <si>
    <t>=K699-I699</t>
  </si>
  <si>
    <t>=IF(I699=0,0,1)</t>
  </si>
  <si>
    <t>=IF(K699=0,0,1)</t>
  </si>
  <si>
    <t>=P699+Q699</t>
  </si>
  <si>
    <t>=IF(R700=0,"HIDE","SHOW")</t>
  </si>
  <si>
    <t>="""Mission ERP"",""GBRA"",""15"",""1"",""21224"""</t>
  </si>
  <si>
    <t>=TEXT(NF(D700,"No."),"00000")</t>
  </si>
  <si>
    <t>=NF(D700,"Name")</t>
  </si>
  <si>
    <t>=NL("Sum","G/L Entry","Amount","Fund No.",$C$4,"Budget Plan No.",PYPLAN_FILTER,"G/L Account No.",$E700,"Department Code",Dept_Filter,"Transaction Type","Budget")</t>
  </si>
  <si>
    <t>=NL("Sum","Version LIne Worksheet","Amount","Fund No.",$C$4,"Plan No.",Plan_Filter,"G/L Account No.",$E700,"Department Code",Dept_Filter)</t>
  </si>
  <si>
    <t>=K700-I700</t>
  </si>
  <si>
    <t>=IF(I700=0,0,1)</t>
  </si>
  <si>
    <t>=IF(K700=0,0,1)</t>
  </si>
  <si>
    <t>=P700+Q700</t>
  </si>
  <si>
    <t>=IF(R701=0,"HIDE","SHOW")</t>
  </si>
  <si>
    <t>="""Mission ERP"",""GBRA"",""15"",""1"",""21225"""</t>
  </si>
  <si>
    <t>=TEXT(NF(D701,"No."),"00000")</t>
  </si>
  <si>
    <t>=NF(D701,"Name")</t>
  </si>
  <si>
    <t>=NL("Sum","G/L Entry","Amount","Fund No.",$C$4,"Budget Plan No.",PYPLAN_FILTER,"G/L Account No.",$E701,"Department Code",Dept_Filter,"Transaction Type","Budget")</t>
  </si>
  <si>
    <t>=NL("Sum","Version LIne Worksheet","Amount","Fund No.",$C$4,"Plan No.",Plan_Filter,"G/L Account No.",$E701,"Department Code",Dept_Filter)</t>
  </si>
  <si>
    <t>=K701-I701</t>
  </si>
  <si>
    <t>=IF(I701=0,0,1)</t>
  </si>
  <si>
    <t>=IF(K701=0,0,1)</t>
  </si>
  <si>
    <t>=P701+Q701</t>
  </si>
  <si>
    <t>=IF(R702=0,"HIDE","SHOW")</t>
  </si>
  <si>
    <t>="""Mission ERP"",""GBRA"",""15"",""1"",""21226"""</t>
  </si>
  <si>
    <t>=TEXT(NF(D702,"No."),"00000")</t>
  </si>
  <si>
    <t>=NF(D702,"Name")</t>
  </si>
  <si>
    <t>=NL("Sum","G/L Entry","Amount","Fund No.",$C$4,"Budget Plan No.",PYPLAN_FILTER,"G/L Account No.",$E702,"Department Code",Dept_Filter,"Transaction Type","Budget")</t>
  </si>
  <si>
    <t>=NL("Sum","Version LIne Worksheet","Amount","Fund No.",$C$4,"Plan No.",Plan_Filter,"G/L Account No.",$E702,"Department Code",Dept_Filter)</t>
  </si>
  <si>
    <t>=K702-I702</t>
  </si>
  <si>
    <t>=IF(I702=0,0,1)</t>
  </si>
  <si>
    <t>=IF(K702=0,0,1)</t>
  </si>
  <si>
    <t>=P702+Q702</t>
  </si>
  <si>
    <t>=IF(R703=0,"HIDE","SHOW")</t>
  </si>
  <si>
    <t>="""Mission ERP"",""GBRA"",""15"",""1"",""21227"""</t>
  </si>
  <si>
    <t>=TEXT(NF(D703,"No."),"00000")</t>
  </si>
  <si>
    <t>=NF(D703,"Name")</t>
  </si>
  <si>
    <t>=NL("Sum","G/L Entry","Amount","Fund No.",$C$4,"Budget Plan No.",PYPLAN_FILTER,"G/L Account No.",$E703,"Department Code",Dept_Filter,"Transaction Type","Budget")</t>
  </si>
  <si>
    <t>=NL("Sum","Version LIne Worksheet","Amount","Fund No.",$C$4,"Plan No.",Plan_Filter,"G/L Account No.",$E703,"Department Code",Dept_Filter)</t>
  </si>
  <si>
    <t>=K703-I703</t>
  </si>
  <si>
    <t>=IF(I703=0,0,1)</t>
  </si>
  <si>
    <t>=IF(K703=0,0,1)</t>
  </si>
  <si>
    <t>=P703+Q703</t>
  </si>
  <si>
    <t>=IF(R704=0,"HIDE","SHOW")</t>
  </si>
  <si>
    <t>="""Mission ERP"",""GBRA"",""15"",""1"",""21228"""</t>
  </si>
  <si>
    <t>=TEXT(NF(D704,"No."),"00000")</t>
  </si>
  <si>
    <t>=NF(D704,"Name")</t>
  </si>
  <si>
    <t>=NL("Sum","G/L Entry","Amount","Fund No.",$C$4,"Budget Plan No.",PYPLAN_FILTER,"G/L Account No.",$E704,"Department Code",Dept_Filter,"Transaction Type","Budget")</t>
  </si>
  <si>
    <t>=NL("Sum","Version LIne Worksheet","Amount","Fund No.",$C$4,"Plan No.",Plan_Filter,"G/L Account No.",$E704,"Department Code",Dept_Filter)</t>
  </si>
  <si>
    <t>=K704-I704</t>
  </si>
  <si>
    <t>=IF(I704=0,0,1)</t>
  </si>
  <si>
    <t>=IF(K704=0,0,1)</t>
  </si>
  <si>
    <t>=P704+Q704</t>
  </si>
  <si>
    <t>=IF(R705=0,"HIDE","SHOW")</t>
  </si>
  <si>
    <t>="""Mission ERP"",""GBRA"",""15"",""1"",""21229"""</t>
  </si>
  <si>
    <t>=TEXT(NF(D705,"No."),"00000")</t>
  </si>
  <si>
    <t>=NF(D705,"Name")</t>
  </si>
  <si>
    <t>=NL("Sum","G/L Entry","Amount","Fund No.",$C$4,"Budget Plan No.",PYPLAN_FILTER,"G/L Account No.",$E705,"Department Code",Dept_Filter,"Transaction Type","Budget")</t>
  </si>
  <si>
    <t>=NL("Sum","Version LIne Worksheet","Amount","Fund No.",$C$4,"Plan No.",Plan_Filter,"G/L Account No.",$E705,"Department Code",Dept_Filter)</t>
  </si>
  <si>
    <t>=K705-I705</t>
  </si>
  <si>
    <t>=IF(I705=0,0,1)</t>
  </si>
  <si>
    <t>=IF(K705=0,0,1)</t>
  </si>
  <si>
    <t>=P705+Q705</t>
  </si>
  <si>
    <t>=IF(R706=0,"HIDE","SHOW")</t>
  </si>
  <si>
    <t>="""Mission ERP"",""GBRA"",""15"",""1"",""21230"""</t>
  </si>
  <si>
    <t>=TEXT(NF(D706,"No."),"00000")</t>
  </si>
  <si>
    <t>=NF(D706,"Name")</t>
  </si>
  <si>
    <t>=NL("Sum","G/L Entry","Amount","Fund No.",$C$4,"Budget Plan No.",PYPLAN_FILTER,"G/L Account No.",$E706,"Department Code",Dept_Filter,"Transaction Type","Budget")</t>
  </si>
  <si>
    <t>=NL("Sum","Version LIne Worksheet","Amount","Fund No.",$C$4,"Plan No.",Plan_Filter,"G/L Account No.",$E706,"Department Code",Dept_Filter)</t>
  </si>
  <si>
    <t>=K706-I706</t>
  </si>
  <si>
    <t>=IF(I706=0,0,1)</t>
  </si>
  <si>
    <t>=IF(K706=0,0,1)</t>
  </si>
  <si>
    <t>=P706+Q706</t>
  </si>
  <si>
    <t>=IF(R707=0,"HIDE","SHOW")</t>
  </si>
  <si>
    <t>="""Mission ERP"",""GBRA"",""15"",""1"",""21231"""</t>
  </si>
  <si>
    <t>=TEXT(NF(D707,"No."),"00000")</t>
  </si>
  <si>
    <t>=NF(D707,"Name")</t>
  </si>
  <si>
    <t>=NL("Sum","G/L Entry","Amount","Fund No.",$C$4,"Budget Plan No.",PYPLAN_FILTER,"G/L Account No.",$E707,"Department Code",Dept_Filter,"Transaction Type","Budget")</t>
  </si>
  <si>
    <t>=NL("Sum","Version LIne Worksheet","Amount","Fund No.",$C$4,"Plan No.",Plan_Filter,"G/L Account No.",$E707,"Department Code",Dept_Filter)</t>
  </si>
  <si>
    <t>=K707-I707</t>
  </si>
  <si>
    <t>=IF(I707=0,0,1)</t>
  </si>
  <si>
    <t>=IF(K707=0,0,1)</t>
  </si>
  <si>
    <t>=P707+Q707</t>
  </si>
  <si>
    <t>=IF(R708=0,"HIDE","SHOW")</t>
  </si>
  <si>
    <t>="""Mission ERP"",""GBRA"",""15"",""1"",""21232"""</t>
  </si>
  <si>
    <t>=TEXT(NF(D708,"No."),"00000")</t>
  </si>
  <si>
    <t>=NF(D708,"Name")</t>
  </si>
  <si>
    <t>=NL("Sum","G/L Entry","Amount","Fund No.",$C$4,"Budget Plan No.",PYPLAN_FILTER,"G/L Account No.",$E708,"Department Code",Dept_Filter,"Transaction Type","Budget")</t>
  </si>
  <si>
    <t>=NL("Sum","Version LIne Worksheet","Amount","Fund No.",$C$4,"Plan No.",Plan_Filter,"G/L Account No.",$E708,"Department Code",Dept_Filter)</t>
  </si>
  <si>
    <t>=K708-I708</t>
  </si>
  <si>
    <t>=IF(I708=0,0,1)</t>
  </si>
  <si>
    <t>=IF(K708=0,0,1)</t>
  </si>
  <si>
    <t>=P708+Q708</t>
  </si>
  <si>
    <t>=IF(R709=0,"HIDE","SHOW")</t>
  </si>
  <si>
    <t>="""Mission ERP"",""GBRA"",""15"",""1"",""21233"""</t>
  </si>
  <si>
    <t>=TEXT(NF(D709,"No."),"00000")</t>
  </si>
  <si>
    <t>=NF(D709,"Name")</t>
  </si>
  <si>
    <t>=NL("Sum","G/L Entry","Amount","Fund No.",$C$4,"Budget Plan No.",PYPLAN_FILTER,"G/L Account No.",$E709,"Department Code",Dept_Filter,"Transaction Type","Budget")</t>
  </si>
  <si>
    <t>=NL("Sum","Version LIne Worksheet","Amount","Fund No.",$C$4,"Plan No.",Plan_Filter,"G/L Account No.",$E709,"Department Code",Dept_Filter)</t>
  </si>
  <si>
    <t>=K709-I709</t>
  </si>
  <si>
    <t>=IF(I709=0,0,1)</t>
  </si>
  <si>
    <t>=IF(K709=0,0,1)</t>
  </si>
  <si>
    <t>=P709+Q709</t>
  </si>
  <si>
    <t>=IF(R710=0,"HIDE","SHOW")</t>
  </si>
  <si>
    <t>="""Mission ERP"",""GBRA"",""15"",""1"",""21234"""</t>
  </si>
  <si>
    <t>=TEXT(NF(D710,"No."),"00000")</t>
  </si>
  <si>
    <t>=NF(D710,"Name")</t>
  </si>
  <si>
    <t>=NL("Sum","G/L Entry","Amount","Fund No.",$C$4,"Budget Plan No.",PYPLAN_FILTER,"G/L Account No.",$E710,"Department Code",Dept_Filter,"Transaction Type","Budget")</t>
  </si>
  <si>
    <t>=NL("Sum","Version LIne Worksheet","Amount","Fund No.",$C$4,"Plan No.",Plan_Filter,"G/L Account No.",$E710,"Department Code",Dept_Filter)</t>
  </si>
  <si>
    <t>=K710-I710</t>
  </si>
  <si>
    <t>=IF(I710=0,0,1)</t>
  </si>
  <si>
    <t>=IF(K710=0,0,1)</t>
  </si>
  <si>
    <t>=P710+Q710</t>
  </si>
  <si>
    <t>=IF(R711=0,"HIDE","SHOW")</t>
  </si>
  <si>
    <t>="""Mission ERP"",""GBRA"",""15"",""1"",""21235"""</t>
  </si>
  <si>
    <t>=TEXT(NF(D711,"No."),"00000")</t>
  </si>
  <si>
    <t>=NF(D711,"Name")</t>
  </si>
  <si>
    <t>=NL("Sum","G/L Entry","Amount","Fund No.",$C$4,"Budget Plan No.",PYPLAN_FILTER,"G/L Account No.",$E711,"Department Code",Dept_Filter,"Transaction Type","Budget")</t>
  </si>
  <si>
    <t>=NL("Sum","Version LIne Worksheet","Amount","Fund No.",$C$4,"Plan No.",Plan_Filter,"G/L Account No.",$E711,"Department Code",Dept_Filter)</t>
  </si>
  <si>
    <t>=K711-I711</t>
  </si>
  <si>
    <t>=IF(I711=0,0,1)</t>
  </si>
  <si>
    <t>=IF(K711=0,0,1)</t>
  </si>
  <si>
    <t>=P711+Q711</t>
  </si>
  <si>
    <t>=IF(R712=0,"HIDE","SHOW")</t>
  </si>
  <si>
    <t>="""Mission ERP"",""GBRA"",""15"",""1"",""21236"""</t>
  </si>
  <si>
    <t>=TEXT(NF(D712,"No."),"00000")</t>
  </si>
  <si>
    <t>=NF(D712,"Name")</t>
  </si>
  <si>
    <t>=NL("Sum","G/L Entry","Amount","Fund No.",$C$4,"Budget Plan No.",PYPLAN_FILTER,"G/L Account No.",$E712,"Department Code",Dept_Filter,"Transaction Type","Budget")</t>
  </si>
  <si>
    <t>=NL("Sum","Version LIne Worksheet","Amount","Fund No.",$C$4,"Plan No.",Plan_Filter,"G/L Account No.",$E712,"Department Code",Dept_Filter)</t>
  </si>
  <si>
    <t>=K712-I712</t>
  </si>
  <si>
    <t>=IF(I712=0,0,1)</t>
  </si>
  <si>
    <t>=IF(K712=0,0,1)</t>
  </si>
  <si>
    <t>=P712+Q712</t>
  </si>
  <si>
    <t>=IF(R713=0,"HIDE","SHOW")</t>
  </si>
  <si>
    <t>="""Mission ERP"",""GBRA"",""15"",""1"",""21237"""</t>
  </si>
  <si>
    <t>=TEXT(NF(D713,"No."),"00000")</t>
  </si>
  <si>
    <t>=NF(D713,"Name")</t>
  </si>
  <si>
    <t>=NL("Sum","G/L Entry","Amount","Fund No.",$C$4,"Budget Plan No.",PYPLAN_FILTER,"G/L Account No.",$E713,"Department Code",Dept_Filter,"Transaction Type","Budget")</t>
  </si>
  <si>
    <t>=NL("Sum","Version LIne Worksheet","Amount","Fund No.",$C$4,"Plan No.",Plan_Filter,"G/L Account No.",$E713,"Department Code",Dept_Filter)</t>
  </si>
  <si>
    <t>=K713-I713</t>
  </si>
  <si>
    <t>=IF(I713=0,0,1)</t>
  </si>
  <si>
    <t>=IF(K713=0,0,1)</t>
  </si>
  <si>
    <t>=P713+Q713</t>
  </si>
  <si>
    <t>=IF(R714=0,"HIDE","SHOW")</t>
  </si>
  <si>
    <t>="""Mission ERP"",""GBRA"",""15"",""1"",""21250"""</t>
  </si>
  <si>
    <t>=TEXT(NF(D714,"No."),"00000")</t>
  </si>
  <si>
    <t>=NF(D714,"Name")</t>
  </si>
  <si>
    <t>=NL("Sum","G/L Entry","Amount","Fund No.",$C$4,"Budget Plan No.",PYPLAN_FILTER,"G/L Account No.",$E714,"Department Code",Dept_Filter,"Transaction Type","Budget")</t>
  </si>
  <si>
    <t>=NL("Sum","Version LIne Worksheet","Amount","Fund No.",$C$4,"Plan No.",Plan_Filter,"G/L Account No.",$E714,"Department Code",Dept_Filter)</t>
  </si>
  <si>
    <t>=K714-I714</t>
  </si>
  <si>
    <t>=IF(I714=0,0,1)</t>
  </si>
  <si>
    <t>=IF(K714=0,0,1)</t>
  </si>
  <si>
    <t>=P714+Q714</t>
  </si>
  <si>
    <t>=IF(R715=0,"HIDE","SHOW")</t>
  </si>
  <si>
    <t>="""Mission ERP"",""GBRA"",""15"",""1"",""21251"""</t>
  </si>
  <si>
    <t>=TEXT(NF(D715,"No."),"00000")</t>
  </si>
  <si>
    <t>=NF(D715,"Name")</t>
  </si>
  <si>
    <t>=NL("Sum","G/L Entry","Amount","Fund No.",$C$4,"Budget Plan No.",PYPLAN_FILTER,"G/L Account No.",$E715,"Department Code",Dept_Filter,"Transaction Type","Budget")</t>
  </si>
  <si>
    <t>=NL("Sum","Version LIne Worksheet","Amount","Fund No.",$C$4,"Plan No.",Plan_Filter,"G/L Account No.",$E715,"Department Code",Dept_Filter)</t>
  </si>
  <si>
    <t>=K715-I715</t>
  </si>
  <si>
    <t>=IF(I715=0,0,1)</t>
  </si>
  <si>
    <t>=IF(K715=0,0,1)</t>
  </si>
  <si>
    <t>=P715+Q715</t>
  </si>
  <si>
    <t>=IF(R716=0,"HIDE","SHOW")</t>
  </si>
  <si>
    <t>="""Mission ERP"",""GBRA"",""15"",""1"",""21252"""</t>
  </si>
  <si>
    <t>=TEXT(NF(D716,"No."),"00000")</t>
  </si>
  <si>
    <t>=NF(D716,"Name")</t>
  </si>
  <si>
    <t>=NL("Sum","G/L Entry","Amount","Fund No.",$C$4,"Budget Plan No.",PYPLAN_FILTER,"G/L Account No.",$E716,"Department Code",Dept_Filter,"Transaction Type","Budget")</t>
  </si>
  <si>
    <t>=NL("Sum","Version LIne Worksheet","Amount","Fund No.",$C$4,"Plan No.",Plan_Filter,"G/L Account No.",$E716,"Department Code",Dept_Filter)</t>
  </si>
  <si>
    <t>=K716-I716</t>
  </si>
  <si>
    <t>=IF(I716=0,0,1)</t>
  </si>
  <si>
    <t>=IF(K716=0,0,1)</t>
  </si>
  <si>
    <t>=P716+Q716</t>
  </si>
  <si>
    <t>=IF(R717=0,"HIDE","SHOW")</t>
  </si>
  <si>
    <t>="""Mission ERP"",""GBRA"",""15"",""1"",""21253"""</t>
  </si>
  <si>
    <t>=TEXT(NF(D717,"No."),"00000")</t>
  </si>
  <si>
    <t>=NF(D717,"Name")</t>
  </si>
  <si>
    <t>=NL("Sum","G/L Entry","Amount","Fund No.",$C$4,"Budget Plan No.",PYPLAN_FILTER,"G/L Account No.",$E717,"Department Code",Dept_Filter,"Transaction Type","Budget")</t>
  </si>
  <si>
    <t>=NL("Sum","Version LIne Worksheet","Amount","Fund No.",$C$4,"Plan No.",Plan_Filter,"G/L Account No.",$E717,"Department Code",Dept_Filter)</t>
  </si>
  <si>
    <t>=K717-I717</t>
  </si>
  <si>
    <t>=IF(I717=0,0,1)</t>
  </si>
  <si>
    <t>=IF(K717=0,0,1)</t>
  </si>
  <si>
    <t>=P717+Q717</t>
  </si>
  <si>
    <t>=IF(R718=0,"HIDE","SHOW")</t>
  </si>
  <si>
    <t>="""Mission ERP"",""GBRA"",""15"",""1"",""21254"""</t>
  </si>
  <si>
    <t>=TEXT(NF(D718,"No."),"00000")</t>
  </si>
  <si>
    <t>=NF(D718,"Name")</t>
  </si>
  <si>
    <t>=NL("Sum","G/L Entry","Amount","Fund No.",$C$4,"Budget Plan No.",PYPLAN_FILTER,"G/L Account No.",$E718,"Department Code",Dept_Filter,"Transaction Type","Budget")</t>
  </si>
  <si>
    <t>=NL("Sum","Version LIne Worksheet","Amount","Fund No.",$C$4,"Plan No.",Plan_Filter,"G/L Account No.",$E718,"Department Code",Dept_Filter)</t>
  </si>
  <si>
    <t>=K718-I718</t>
  </si>
  <si>
    <t>=IF(I718=0,0,1)</t>
  </si>
  <si>
    <t>=IF(K718=0,0,1)</t>
  </si>
  <si>
    <t>=P718+Q718</t>
  </si>
  <si>
    <t>=IF(R719=0,"HIDE","SHOW")</t>
  </si>
  <si>
    <t>="""Mission ERP"",""GBRA"",""15"",""1"",""21255"""</t>
  </si>
  <si>
    <t>=TEXT(NF(D719,"No."),"00000")</t>
  </si>
  <si>
    <t>=NF(D719,"Name")</t>
  </si>
  <si>
    <t>=NL("Sum","G/L Entry","Amount","Fund No.",$C$4,"Budget Plan No.",PYPLAN_FILTER,"G/L Account No.",$E719,"Department Code",Dept_Filter,"Transaction Type","Budget")</t>
  </si>
  <si>
    <t>=NL("Sum","Version LIne Worksheet","Amount","Fund No.",$C$4,"Plan No.",Plan_Filter,"G/L Account No.",$E719,"Department Code",Dept_Filter)</t>
  </si>
  <si>
    <t>=K719-I719</t>
  </si>
  <si>
    <t>=IF(I719=0,0,1)</t>
  </si>
  <si>
    <t>=IF(K719=0,0,1)</t>
  </si>
  <si>
    <t>=P719+Q719</t>
  </si>
  <si>
    <t>=IF(R720=0,"HIDE","SHOW")</t>
  </si>
  <si>
    <t>="""Mission ERP"",""GBRA"",""15"",""1"",""21256"""</t>
  </si>
  <si>
    <t>=TEXT(NF(D720,"No."),"00000")</t>
  </si>
  <si>
    <t>=NF(D720,"Name")</t>
  </si>
  <si>
    <t>=NL("Sum","G/L Entry","Amount","Fund No.",$C$4,"Budget Plan No.",PYPLAN_FILTER,"G/L Account No.",$E720,"Department Code",Dept_Filter,"Transaction Type","Budget")</t>
  </si>
  <si>
    <t>=NL("Sum","Version LIne Worksheet","Amount","Fund No.",$C$4,"Plan No.",Plan_Filter,"G/L Account No.",$E720,"Department Code",Dept_Filter)</t>
  </si>
  <si>
    <t>=K720-I720</t>
  </si>
  <si>
    <t>=IF(I720=0,0,1)</t>
  </si>
  <si>
    <t>=IF(K720=0,0,1)</t>
  </si>
  <si>
    <t>=P720+Q720</t>
  </si>
  <si>
    <t>=IF(R721=0,"HIDE","SHOW")</t>
  </si>
  <si>
    <t>="""Mission ERP"",""GBRA"",""15"",""1"",""21257"""</t>
  </si>
  <si>
    <t>=TEXT(NF(D721,"No."),"00000")</t>
  </si>
  <si>
    <t>=NF(D721,"Name")</t>
  </si>
  <si>
    <t>=NL("Sum","G/L Entry","Amount","Fund No.",$C$4,"Budget Plan No.",PYPLAN_FILTER,"G/L Account No.",$E721,"Department Code",Dept_Filter,"Transaction Type","Budget")</t>
  </si>
  <si>
    <t>=NL("Sum","Version LIne Worksheet","Amount","Fund No.",$C$4,"Plan No.",Plan_Filter,"G/L Account No.",$E721,"Department Code",Dept_Filter)</t>
  </si>
  <si>
    <t>=K721-I721</t>
  </si>
  <si>
    <t>=IF(I721=0,0,1)</t>
  </si>
  <si>
    <t>=IF(K721=0,0,1)</t>
  </si>
  <si>
    <t>=P721+Q721</t>
  </si>
  <si>
    <t>=IF(R722=0,"HIDE","SHOW")</t>
  </si>
  <si>
    <t>="""Mission ERP"",""GBRA"",""15"",""1"",""21258"""</t>
  </si>
  <si>
    <t>=TEXT(NF(D722,"No."),"00000")</t>
  </si>
  <si>
    <t>=NF(D722,"Name")</t>
  </si>
  <si>
    <t>=NL("Sum","G/L Entry","Amount","Fund No.",$C$4,"Budget Plan No.",PYPLAN_FILTER,"G/L Account No.",$E722,"Department Code",Dept_Filter,"Transaction Type","Budget")</t>
  </si>
  <si>
    <t>=NL("Sum","Version LIne Worksheet","Amount","Fund No.",$C$4,"Plan No.",Plan_Filter,"G/L Account No.",$E722,"Department Code",Dept_Filter)</t>
  </si>
  <si>
    <t>=K722-I722</t>
  </si>
  <si>
    <t>=IF(I722=0,0,1)</t>
  </si>
  <si>
    <t>=IF(K722=0,0,1)</t>
  </si>
  <si>
    <t>=P722+Q722</t>
  </si>
  <si>
    <t>=IF(R723=0,"HIDE","SHOW")</t>
  </si>
  <si>
    <t>="""Mission ERP"",""GBRA"",""15"",""1"",""21259"""</t>
  </si>
  <si>
    <t>=TEXT(NF(D723,"No."),"00000")</t>
  </si>
  <si>
    <t>=NF(D723,"Name")</t>
  </si>
  <si>
    <t>=NL("Sum","G/L Entry","Amount","Fund No.",$C$4,"Budget Plan No.",PYPLAN_FILTER,"G/L Account No.",$E723,"Department Code",Dept_Filter,"Transaction Type","Budget")</t>
  </si>
  <si>
    <t>=NL("Sum","Version LIne Worksheet","Amount","Fund No.",$C$4,"Plan No.",Plan_Filter,"G/L Account No.",$E723,"Department Code",Dept_Filter)</t>
  </si>
  <si>
    <t>=K723-I723</t>
  </si>
  <si>
    <t>=IF(I723=0,0,1)</t>
  </si>
  <si>
    <t>=IF(K723=0,0,1)</t>
  </si>
  <si>
    <t>=P723+Q723</t>
  </si>
  <si>
    <t>=IF(R724=0,"HIDE","SHOW")</t>
  </si>
  <si>
    <t>="""Mission ERP"",""GBRA"",""15"",""1"",""21260"""</t>
  </si>
  <si>
    <t>=TEXT(NF(D724,"No."),"00000")</t>
  </si>
  <si>
    <t>=NF(D724,"Name")</t>
  </si>
  <si>
    <t>=NL("Sum","G/L Entry","Amount","Fund No.",$C$4,"Budget Plan No.",PYPLAN_FILTER,"G/L Account No.",$E724,"Department Code",Dept_Filter,"Transaction Type","Budget")</t>
  </si>
  <si>
    <t>=NL("Sum","Version LIne Worksheet","Amount","Fund No.",$C$4,"Plan No.",Plan_Filter,"G/L Account No.",$E724,"Department Code",Dept_Filter)</t>
  </si>
  <si>
    <t>=K724-I724</t>
  </si>
  <si>
    <t>=IF(I724=0,0,1)</t>
  </si>
  <si>
    <t>=IF(K724=0,0,1)</t>
  </si>
  <si>
    <t>=P724+Q724</t>
  </si>
  <si>
    <t>=IF(R725=0,"HIDE","SHOW")</t>
  </si>
  <si>
    <t>="""Mission ERP"",""GBRA"",""15"",""1"",""21261"""</t>
  </si>
  <si>
    <t>=TEXT(NF(D725,"No."),"00000")</t>
  </si>
  <si>
    <t>=NF(D725,"Name")</t>
  </si>
  <si>
    <t>=NL("Sum","G/L Entry","Amount","Fund No.",$C$4,"Budget Plan No.",PYPLAN_FILTER,"G/L Account No.",$E725,"Department Code",Dept_Filter,"Transaction Type","Budget")</t>
  </si>
  <si>
    <t>=NL("Sum","Version LIne Worksheet","Amount","Fund No.",$C$4,"Plan No.",Plan_Filter,"G/L Account No.",$E725,"Department Code",Dept_Filter)</t>
  </si>
  <si>
    <t>=K725-I725</t>
  </si>
  <si>
    <t>=IF(I725=0,0,1)</t>
  </si>
  <si>
    <t>=IF(K725=0,0,1)</t>
  </si>
  <si>
    <t>=P725+Q725</t>
  </si>
  <si>
    <t>=IF(R726=0,"HIDE","SHOW")</t>
  </si>
  <si>
    <t>="""Mission ERP"",""GBRA"",""15"",""1"",""21262"""</t>
  </si>
  <si>
    <t>=TEXT(NF(D726,"No."),"00000")</t>
  </si>
  <si>
    <t>=NF(D726,"Name")</t>
  </si>
  <si>
    <t>=NL("Sum","G/L Entry","Amount","Fund No.",$C$4,"Budget Plan No.",PYPLAN_FILTER,"G/L Account No.",$E726,"Department Code",Dept_Filter,"Transaction Type","Budget")</t>
  </si>
  <si>
    <t>=NL("Sum","Version LIne Worksheet","Amount","Fund No.",$C$4,"Plan No.",Plan_Filter,"G/L Account No.",$E726,"Department Code",Dept_Filter)</t>
  </si>
  <si>
    <t>=K726-I726</t>
  </si>
  <si>
    <t>=IF(I726=0,0,1)</t>
  </si>
  <si>
    <t>=IF(K726=0,0,1)</t>
  </si>
  <si>
    <t>=P726+Q726</t>
  </si>
  <si>
    <t>=IF(R727=0,"HIDE","SHOW")</t>
  </si>
  <si>
    <t>="""Mission ERP"",""GBRA"",""15"",""1"",""21270"""</t>
  </si>
  <si>
    <t>=TEXT(NF(D727,"No."),"00000")</t>
  </si>
  <si>
    <t>=NF(D727,"Name")</t>
  </si>
  <si>
    <t>=NL("Sum","G/L Entry","Amount","Fund No.",$C$4,"Budget Plan No.",PYPLAN_FILTER,"G/L Account No.",$E727,"Department Code",Dept_Filter,"Transaction Type","Budget")</t>
  </si>
  <si>
    <t>=NL("Sum","Version LIne Worksheet","Amount","Fund No.",$C$4,"Plan No.",Plan_Filter,"G/L Account No.",$E727,"Department Code",Dept_Filter)</t>
  </si>
  <si>
    <t>=K727-I727</t>
  </si>
  <si>
    <t>=IF(I727=0,0,1)</t>
  </si>
  <si>
    <t>=IF(K727=0,0,1)</t>
  </si>
  <si>
    <t>=P727+Q727</t>
  </si>
  <si>
    <t>=IF(R728=0,"HIDE","SHOW")</t>
  </si>
  <si>
    <t>="""Mission ERP"",""GBRA"",""15"",""1"",""21271"""</t>
  </si>
  <si>
    <t>=TEXT(NF(D728,"No."),"00000")</t>
  </si>
  <si>
    <t>=NF(D728,"Name")</t>
  </si>
  <si>
    <t>=NL("Sum","G/L Entry","Amount","Fund No.",$C$4,"Budget Plan No.",PYPLAN_FILTER,"G/L Account No.",$E728,"Department Code",Dept_Filter,"Transaction Type","Budget")</t>
  </si>
  <si>
    <t>=NL("Sum","Version LIne Worksheet","Amount","Fund No.",$C$4,"Plan No.",Plan_Filter,"G/L Account No.",$E728,"Department Code",Dept_Filter)</t>
  </si>
  <si>
    <t>=K728-I728</t>
  </si>
  <si>
    <t>=IF(I728=0,0,1)</t>
  </si>
  <si>
    <t>=IF(K728=0,0,1)</t>
  </si>
  <si>
    <t>=P728+Q728</t>
  </si>
  <si>
    <t>=IF(R729=0,"HIDE","SHOW")</t>
  </si>
  <si>
    <t>="""Mission ERP"",""GBRA"",""15"",""1"",""21272"""</t>
  </si>
  <si>
    <t>=TEXT(NF(D729,"No."),"00000")</t>
  </si>
  <si>
    <t>=NF(D729,"Name")</t>
  </si>
  <si>
    <t>=NL("Sum","G/L Entry","Amount","Fund No.",$C$4,"Budget Plan No.",PYPLAN_FILTER,"G/L Account No.",$E729,"Department Code",Dept_Filter,"Transaction Type","Budget")</t>
  </si>
  <si>
    <t>=NL("Sum","Version LIne Worksheet","Amount","Fund No.",$C$4,"Plan No.",Plan_Filter,"G/L Account No.",$E729,"Department Code",Dept_Filter)</t>
  </si>
  <si>
    <t>=K729-I729</t>
  </si>
  <si>
    <t>=IF(I729=0,0,1)</t>
  </si>
  <si>
    <t>=IF(K729=0,0,1)</t>
  </si>
  <si>
    <t>=P729+Q729</t>
  </si>
  <si>
    <t>=IF(R730=0,"HIDE","SHOW")</t>
  </si>
  <si>
    <t>="""Mission ERP"",""GBRA"",""15"",""1"",""21273"""</t>
  </si>
  <si>
    <t>=TEXT(NF(D730,"No."),"00000")</t>
  </si>
  <si>
    <t>=NF(D730,"Name")</t>
  </si>
  <si>
    <t>=NL("Sum","G/L Entry","Amount","Fund No.",$C$4,"Budget Plan No.",PYPLAN_FILTER,"G/L Account No.",$E730,"Department Code",Dept_Filter,"Transaction Type","Budget")</t>
  </si>
  <si>
    <t>=NL("Sum","Version LIne Worksheet","Amount","Fund No.",$C$4,"Plan No.",Plan_Filter,"G/L Account No.",$E730,"Department Code",Dept_Filter)</t>
  </si>
  <si>
    <t>=K730-I730</t>
  </si>
  <si>
    <t>=IF(I730=0,0,1)</t>
  </si>
  <si>
    <t>=IF(K730=0,0,1)</t>
  </si>
  <si>
    <t>=P730+Q730</t>
  </si>
  <si>
    <t>=IF(R731=0,"HIDE","SHOW")</t>
  </si>
  <si>
    <t>="""Mission ERP"",""GBRA"",""15"",""1"",""21274"""</t>
  </si>
  <si>
    <t>=TEXT(NF(D731,"No."),"00000")</t>
  </si>
  <si>
    <t>=NF(D731,"Name")</t>
  </si>
  <si>
    <t>=NL("Sum","G/L Entry","Amount","Fund No.",$C$4,"Budget Plan No.",PYPLAN_FILTER,"G/L Account No.",$E731,"Department Code",Dept_Filter,"Transaction Type","Budget")</t>
  </si>
  <si>
    <t>=NL("Sum","Version LIne Worksheet","Amount","Fund No.",$C$4,"Plan No.",Plan_Filter,"G/L Account No.",$E731,"Department Code",Dept_Filter)</t>
  </si>
  <si>
    <t>=K731-I731</t>
  </si>
  <si>
    <t>=IF(I731=0,0,1)</t>
  </si>
  <si>
    <t>=IF(K731=0,0,1)</t>
  </si>
  <si>
    <t>=P731+Q731</t>
  </si>
  <si>
    <t>=IF(R732=0,"HIDE","SHOW")</t>
  </si>
  <si>
    <t>="""Mission ERP"",""GBRA"",""15"",""1"",""21290"""</t>
  </si>
  <si>
    <t>=TEXT(NF(D732,"No."),"00000")</t>
  </si>
  <si>
    <t>=NF(D732,"Name")</t>
  </si>
  <si>
    <t>=NL("Sum","G/L Entry","Amount","Fund No.",$C$4,"Budget Plan No.",PYPLAN_FILTER,"G/L Account No.",$E732,"Department Code",Dept_Filter,"Transaction Type","Budget")</t>
  </si>
  <si>
    <t>=NL("Sum","Version LIne Worksheet","Amount","Fund No.",$C$4,"Plan No.",Plan_Filter,"G/L Account No.",$E732,"Department Code",Dept_Filter)</t>
  </si>
  <si>
    <t>=K732-I732</t>
  </si>
  <si>
    <t>=IF(I732=0,0,1)</t>
  </si>
  <si>
    <t>=IF(K732=0,0,1)</t>
  </si>
  <si>
    <t>=P732+Q732</t>
  </si>
  <si>
    <t>=IF(R733=0,"HIDE","SHOW")</t>
  </si>
  <si>
    <t>="""Mission ERP"",""GBRA"",""15"",""1"",""21291"""</t>
  </si>
  <si>
    <t>=TEXT(NF(D733,"No."),"00000")</t>
  </si>
  <si>
    <t>=NF(D733,"Name")</t>
  </si>
  <si>
    <t>=NL("Sum","G/L Entry","Amount","Fund No.",$C$4,"Budget Plan No.",PYPLAN_FILTER,"G/L Account No.",$E733,"Department Code",Dept_Filter,"Transaction Type","Budget")</t>
  </si>
  <si>
    <t>=NL("Sum","Version LIne Worksheet","Amount","Fund No.",$C$4,"Plan No.",Plan_Filter,"G/L Account No.",$E733,"Department Code",Dept_Filter)</t>
  </si>
  <si>
    <t>=K733-I733</t>
  </si>
  <si>
    <t>=IF(I733=0,0,1)</t>
  </si>
  <si>
    <t>=IF(K733=0,0,1)</t>
  </si>
  <si>
    <t>=P733+Q733</t>
  </si>
  <si>
    <t>=IF(R734=0,"HIDE","SHOW")</t>
  </si>
  <si>
    <t>="""Mission ERP"",""GBRA"",""15"",""1"",""21292"""</t>
  </si>
  <si>
    <t>=TEXT(NF(D734,"No."),"00000")</t>
  </si>
  <si>
    <t>=NF(D734,"Name")</t>
  </si>
  <si>
    <t>=NL("Sum","G/L Entry","Amount","Fund No.",$C$4,"Budget Plan No.",PYPLAN_FILTER,"G/L Account No.",$E734,"Department Code",Dept_Filter,"Transaction Type","Budget")</t>
  </si>
  <si>
    <t>=NL("Sum","Version LIne Worksheet","Amount","Fund No.",$C$4,"Plan No.",Plan_Filter,"G/L Account No.",$E734,"Department Code",Dept_Filter)</t>
  </si>
  <si>
    <t>=K734-I734</t>
  </si>
  <si>
    <t>=IF(I734=0,0,1)</t>
  </si>
  <si>
    <t>=IF(K734=0,0,1)</t>
  </si>
  <si>
    <t>=P734+Q734</t>
  </si>
  <si>
    <t>=IF(R736=0,"HIDE","SHOW")</t>
  </si>
  <si>
    <t>=CONCATENATE("Total ",F665)</t>
  </si>
  <si>
    <t>=SUM(I666:I735)</t>
  </si>
  <si>
    <t>=SUM(K666:K735)</t>
  </si>
  <si>
    <t>=K736-I736</t>
  </si>
  <si>
    <t>=IF(I736=0,0,1)</t>
  </si>
  <si>
    <t>=IF(K736=0,0,1)</t>
  </si>
  <si>
    <t>=P736+Q736</t>
  </si>
  <si>
    <t>=B771</t>
  </si>
  <si>
    <t>=IF(R739=0,"HIDE","SHOW")</t>
  </si>
  <si>
    <t>=NL("Rows","G/L Account",,"No.",C739)</t>
  </si>
  <si>
    <t>=TEXT(NF(D739,"No."),"00000")</t>
  </si>
  <si>
    <t>=NF(D739,"Name")</t>
  </si>
  <si>
    <t>=NL("Sum","G/L Entry","Amount","Fund No.",$C$4,"Budget Plan No.",PYPLAN_FILTER,"G/L Account No.",$E739,"Department Code",Dept_Filter,"Transaction Type","Budget")</t>
  </si>
  <si>
    <t>=NL("Sum","Version LIne Worksheet","Amount","Fund No.",$C$4,"Plan No.",Plan_Filter,"G/L Account No.",$E739,"Department Code",Dept_Filter)</t>
  </si>
  <si>
    <t>=K739-I739</t>
  </si>
  <si>
    <t>=IF(I739=0,0,1)</t>
  </si>
  <si>
    <t>=IF(K739=0,0,1)</t>
  </si>
  <si>
    <t>=P739+Q739</t>
  </si>
  <si>
    <t>=IF(R740=0,"HIDE","SHOW")</t>
  </si>
  <si>
    <t>="""Mission ERP"",""GBRA"",""15"",""1"",""57102"""</t>
  </si>
  <si>
    <t>=TEXT(NF(D740,"No."),"00000")</t>
  </si>
  <si>
    <t>=NF(D740,"Name")</t>
  </si>
  <si>
    <t>=NL("Sum","G/L Entry","Amount","Fund No.",$C$4,"Budget Plan No.",PYPLAN_FILTER,"G/L Account No.",$E740,"Department Code",Dept_Filter,"Transaction Type","Budget")</t>
  </si>
  <si>
    <t>=NL("Sum","Version LIne Worksheet","Amount","Fund No.",$C$4,"Plan No.",Plan_Filter,"G/L Account No.",$E740,"Department Code",Dept_Filter)</t>
  </si>
  <si>
    <t>=K740-I740</t>
  </si>
  <si>
    <t>=IF(I740=0,0,1)</t>
  </si>
  <si>
    <t>=IF(K740=0,0,1)</t>
  </si>
  <si>
    <t>=P740+Q740</t>
  </si>
  <si>
    <t>=IF(R741=0,"HIDE","SHOW")</t>
  </si>
  <si>
    <t>="""Mission ERP"",""GBRA"",""15"",""1"",""57103"""</t>
  </si>
  <si>
    <t>=TEXT(NF(D741,"No."),"00000")</t>
  </si>
  <si>
    <t>=NF(D741,"Name")</t>
  </si>
  <si>
    <t>=NL("Sum","G/L Entry","Amount","Fund No.",$C$4,"Budget Plan No.",PYPLAN_FILTER,"G/L Account No.",$E741,"Department Code",Dept_Filter,"Transaction Type","Budget")</t>
  </si>
  <si>
    <t>=NL("Sum","Version LIne Worksheet","Amount","Fund No.",$C$4,"Plan No.",Plan_Filter,"G/L Account No.",$E741,"Department Code",Dept_Filter)</t>
  </si>
  <si>
    <t>=K741-I741</t>
  </si>
  <si>
    <t>=IF(I741=0,0,1)</t>
  </si>
  <si>
    <t>=IF(K741=0,0,1)</t>
  </si>
  <si>
    <t>=P741+Q741</t>
  </si>
  <si>
    <t>=IF(R742=0,"HIDE","SHOW")</t>
  </si>
  <si>
    <t>="""Mission ERP"",""GBRA"",""15"",""1"",""57201"""</t>
  </si>
  <si>
    <t>=TEXT(NF(D742,"No."),"00000")</t>
  </si>
  <si>
    <t>=NF(D742,"Name")</t>
  </si>
  <si>
    <t>=NL("Sum","G/L Entry","Amount","Fund No.",$C$4,"Budget Plan No.",PYPLAN_FILTER,"G/L Account No.",$E742,"Department Code",Dept_Filter,"Transaction Type","Budget")</t>
  </si>
  <si>
    <t>=NL("Sum","Version LIne Worksheet","Amount","Fund No.",$C$4,"Plan No.",Plan_Filter,"G/L Account No.",$E742,"Department Code",Dept_Filter)</t>
  </si>
  <si>
    <t>=K742-I742</t>
  </si>
  <si>
    <t>=IF(I742=0,0,1)</t>
  </si>
  <si>
    <t>=IF(K742=0,0,1)</t>
  </si>
  <si>
    <t>=P742+Q742</t>
  </si>
  <si>
    <t>=IF(R743=0,"HIDE","SHOW")</t>
  </si>
  <si>
    <t>="""Mission ERP"",""GBRA"",""15"",""1"",""57202"""</t>
  </si>
  <si>
    <t>=TEXT(NF(D743,"No."),"00000")</t>
  </si>
  <si>
    <t>=NF(D743,"Name")</t>
  </si>
  <si>
    <t>=NL("Sum","G/L Entry","Amount","Fund No.",$C$4,"Budget Plan No.",PYPLAN_FILTER,"G/L Account No.",$E743,"Department Code",Dept_Filter,"Transaction Type","Budget")</t>
  </si>
  <si>
    <t>=NL("Sum","Version LIne Worksheet","Amount","Fund No.",$C$4,"Plan No.",Plan_Filter,"G/L Account No.",$E743,"Department Code",Dept_Filter)</t>
  </si>
  <si>
    <t>=K743-I743</t>
  </si>
  <si>
    <t>=IF(I743=0,0,1)</t>
  </si>
  <si>
    <t>=IF(K743=0,0,1)</t>
  </si>
  <si>
    <t>=P743+Q743</t>
  </si>
  <si>
    <t>=IF(R744=0,"HIDE","SHOW")</t>
  </si>
  <si>
    <t>="""Mission ERP"",""GBRA"",""15"",""1"",""57203"""</t>
  </si>
  <si>
    <t>=TEXT(NF(D744,"No."),"00000")</t>
  </si>
  <si>
    <t>=NF(D744,"Name")</t>
  </si>
  <si>
    <t>=NL("Sum","G/L Entry","Amount","Fund No.",$C$4,"Budget Plan No.",PYPLAN_FILTER,"G/L Account No.",$E744,"Department Code",Dept_Filter,"Transaction Type","Budget")</t>
  </si>
  <si>
    <t>=NL("Sum","Version LIne Worksheet","Amount","Fund No.",$C$4,"Plan No.",Plan_Filter,"G/L Account No.",$E744,"Department Code",Dept_Filter)</t>
  </si>
  <si>
    <t>=K744-I744</t>
  </si>
  <si>
    <t>=IF(I744=0,0,1)</t>
  </si>
  <si>
    <t>=IF(K744=0,0,1)</t>
  </si>
  <si>
    <t>=P744+Q744</t>
  </si>
  <si>
    <t>=IF(R745=0,"HIDE","SHOW")</t>
  </si>
  <si>
    <t>="""Mission ERP"",""GBRA"",""15"",""1"",""57204"""</t>
  </si>
  <si>
    <t>=TEXT(NF(D745,"No."),"00000")</t>
  </si>
  <si>
    <t>=NF(D745,"Name")</t>
  </si>
  <si>
    <t>=NL("Sum","G/L Entry","Amount","Fund No.",$C$4,"Budget Plan No.",PYPLAN_FILTER,"G/L Account No.",$E745,"Department Code",Dept_Filter,"Transaction Type","Budget")</t>
  </si>
  <si>
    <t>=NL("Sum","Version LIne Worksheet","Amount","Fund No.",$C$4,"Plan No.",Plan_Filter,"G/L Account No.",$E745,"Department Code",Dept_Filter)</t>
  </si>
  <si>
    <t>=K745-I745</t>
  </si>
  <si>
    <t>=IF(I745=0,0,1)</t>
  </si>
  <si>
    <t>=IF(K745=0,0,1)</t>
  </si>
  <si>
    <t>=P745+Q745</t>
  </si>
  <si>
    <t>=IF(R746=0,"HIDE","SHOW")</t>
  </si>
  <si>
    <t>="""Mission ERP"",""GBRA"",""15"",""1"",""57205"""</t>
  </si>
  <si>
    <t>=TEXT(NF(D746,"No."),"00000")</t>
  </si>
  <si>
    <t>=NF(D746,"Name")</t>
  </si>
  <si>
    <t>=NL("Sum","G/L Entry","Amount","Fund No.",$C$4,"Budget Plan No.",PYPLAN_FILTER,"G/L Account No.",$E746,"Department Code",Dept_Filter,"Transaction Type","Budget")</t>
  </si>
  <si>
    <t>=NL("Sum","Version LIne Worksheet","Amount","Fund No.",$C$4,"Plan No.",Plan_Filter,"G/L Account No.",$E746,"Department Code",Dept_Filter)</t>
  </si>
  <si>
    <t>=K746-I746</t>
  </si>
  <si>
    <t>=IF(I746=0,0,1)</t>
  </si>
  <si>
    <t>=IF(K746=0,0,1)</t>
  </si>
  <si>
    <t>=P746+Q746</t>
  </si>
  <si>
    <t>=IF(R747=0,"HIDE","SHOW")</t>
  </si>
  <si>
    <t>="""Mission ERP"",""GBRA"",""15"",""1"",""57206"""</t>
  </si>
  <si>
    <t>=TEXT(NF(D747,"No."),"00000")</t>
  </si>
  <si>
    <t>=NF(D747,"Name")</t>
  </si>
  <si>
    <t>=NL("Sum","G/L Entry","Amount","Fund No.",$C$4,"Budget Plan No.",PYPLAN_FILTER,"G/L Account No.",$E747,"Department Code",Dept_Filter,"Transaction Type","Budget")</t>
  </si>
  <si>
    <t>=NL("Sum","Version LIne Worksheet","Amount","Fund No.",$C$4,"Plan No.",Plan_Filter,"G/L Account No.",$E747,"Department Code",Dept_Filter)</t>
  </si>
  <si>
    <t>=K747-I747</t>
  </si>
  <si>
    <t>=IF(I747=0,0,1)</t>
  </si>
  <si>
    <t>=IF(K747=0,0,1)</t>
  </si>
  <si>
    <t>=P747+Q747</t>
  </si>
  <si>
    <t>=IF(R748=0,"HIDE","SHOW")</t>
  </si>
  <si>
    <t>="""Mission ERP"",""GBRA"",""15"",""1"",""57207"""</t>
  </si>
  <si>
    <t>=TEXT(NF(D748,"No."),"00000")</t>
  </si>
  <si>
    <t>=NF(D748,"Name")</t>
  </si>
  <si>
    <t>=NL("Sum","G/L Entry","Amount","Fund No.",$C$4,"Budget Plan No.",PYPLAN_FILTER,"G/L Account No.",$E748,"Department Code",Dept_Filter,"Transaction Type","Budget")</t>
  </si>
  <si>
    <t>=NL("Sum","Version LIne Worksheet","Amount","Fund No.",$C$4,"Plan No.",Plan_Filter,"G/L Account No.",$E748,"Department Code",Dept_Filter)</t>
  </si>
  <si>
    <t>=K748-I748</t>
  </si>
  <si>
    <t>=IF(I748=0,0,1)</t>
  </si>
  <si>
    <t>=IF(K748=0,0,1)</t>
  </si>
  <si>
    <t>=P748+Q748</t>
  </si>
  <si>
    <t>=IF(R749=0,"HIDE","SHOW")</t>
  </si>
  <si>
    <t>="""Mission ERP"",""GBRA"",""15"",""1"",""57208"""</t>
  </si>
  <si>
    <t>=TEXT(NF(D749,"No."),"00000")</t>
  </si>
  <si>
    <t>=NF(D749,"Name")</t>
  </si>
  <si>
    <t>=NL("Sum","G/L Entry","Amount","Fund No.",$C$4,"Budget Plan No.",PYPLAN_FILTER,"G/L Account No.",$E749,"Department Code",Dept_Filter,"Transaction Type","Budget")</t>
  </si>
  <si>
    <t>=NL("Sum","Version LIne Worksheet","Amount","Fund No.",$C$4,"Plan No.",Plan_Filter,"G/L Account No.",$E749,"Department Code",Dept_Filter)</t>
  </si>
  <si>
    <t>=K749-I749</t>
  </si>
  <si>
    <t>=IF(I749=0,0,1)</t>
  </si>
  <si>
    <t>=IF(K749=0,0,1)</t>
  </si>
  <si>
    <t>=P749+Q749</t>
  </si>
  <si>
    <t>=IF(R750=0,"HIDE","SHOW")</t>
  </si>
  <si>
    <t>="""Mission ERP"",""GBRA"",""15"",""1"",""57209"""</t>
  </si>
  <si>
    <t>=TEXT(NF(D750,"No."),"00000")</t>
  </si>
  <si>
    <t>=NF(D750,"Name")</t>
  </si>
  <si>
    <t>=NL("Sum","G/L Entry","Amount","Fund No.",$C$4,"Budget Plan No.",PYPLAN_FILTER,"G/L Account No.",$E750,"Department Code",Dept_Filter,"Transaction Type","Budget")</t>
  </si>
  <si>
    <t>=NL("Sum","Version LIne Worksheet","Amount","Fund No.",$C$4,"Plan No.",Plan_Filter,"G/L Account No.",$E750,"Department Code",Dept_Filter)</t>
  </si>
  <si>
    <t>=K750-I750</t>
  </si>
  <si>
    <t>=IF(I750=0,0,1)</t>
  </si>
  <si>
    <t>=IF(K750=0,0,1)</t>
  </si>
  <si>
    <t>=P750+Q750</t>
  </si>
  <si>
    <t>=IF(R751=0,"HIDE","SHOW")</t>
  </si>
  <si>
    <t>="""Mission ERP"",""GBRA"",""15"",""1"",""57210"""</t>
  </si>
  <si>
    <t>=TEXT(NF(D751,"No."),"00000")</t>
  </si>
  <si>
    <t>=NF(D751,"Name")</t>
  </si>
  <si>
    <t>=NL("Sum","G/L Entry","Amount","Fund No.",$C$4,"Budget Plan No.",PYPLAN_FILTER,"G/L Account No.",$E751,"Department Code",Dept_Filter,"Transaction Type","Budget")</t>
  </si>
  <si>
    <t>=NL("Sum","Version LIne Worksheet","Amount","Fund No.",$C$4,"Plan No.",Plan_Filter,"G/L Account No.",$E751,"Department Code",Dept_Filter)</t>
  </si>
  <si>
    <t>=K751-I751</t>
  </si>
  <si>
    <t>=IF(I751=0,0,1)</t>
  </si>
  <si>
    <t>=IF(K751=0,0,1)</t>
  </si>
  <si>
    <t>=P751+Q751</t>
  </si>
  <si>
    <t>=IF(R752=0,"HIDE","SHOW")</t>
  </si>
  <si>
    <t>="""Mission ERP"",""GBRA"",""15"",""1"",""57211"""</t>
  </si>
  <si>
    <t>=TEXT(NF(D752,"No."),"00000")</t>
  </si>
  <si>
    <t>=NF(D752,"Name")</t>
  </si>
  <si>
    <t>=NL("Sum","G/L Entry","Amount","Fund No.",$C$4,"Budget Plan No.",PYPLAN_FILTER,"G/L Account No.",$E752,"Department Code",Dept_Filter,"Transaction Type","Budget")</t>
  </si>
  <si>
    <t>=NL("Sum","Version LIne Worksheet","Amount","Fund No.",$C$4,"Plan No.",Plan_Filter,"G/L Account No.",$E752,"Department Code",Dept_Filter)</t>
  </si>
  <si>
    <t>=K752-I752</t>
  </si>
  <si>
    <t>=IF(I752=0,0,1)</t>
  </si>
  <si>
    <t>=IF(K752=0,0,1)</t>
  </si>
  <si>
    <t>=P752+Q752</t>
  </si>
  <si>
    <t>=IF(R753=0,"HIDE","SHOW")</t>
  </si>
  <si>
    <t>="""Mission ERP"",""GBRA"",""15"",""1"",""57212"""</t>
  </si>
  <si>
    <t>=TEXT(NF(D753,"No."),"00000")</t>
  </si>
  <si>
    <t>=NF(D753,"Name")</t>
  </si>
  <si>
    <t>=NL("Sum","G/L Entry","Amount","Fund No.",$C$4,"Budget Plan No.",PYPLAN_FILTER,"G/L Account No.",$E753,"Department Code",Dept_Filter,"Transaction Type","Budget")</t>
  </si>
  <si>
    <t>=NL("Sum","Version LIne Worksheet","Amount","Fund No.",$C$4,"Plan No.",Plan_Filter,"G/L Account No.",$E753,"Department Code",Dept_Filter)</t>
  </si>
  <si>
    <t>=K753-I753</t>
  </si>
  <si>
    <t>=IF(I753=0,0,1)</t>
  </si>
  <si>
    <t>=IF(K753=0,0,1)</t>
  </si>
  <si>
    <t>=P753+Q753</t>
  </si>
  <si>
    <t>=IF(R754=0,"HIDE","SHOW")</t>
  </si>
  <si>
    <t>="""Mission ERP"",""GBRA"",""15"",""1"",""57213"""</t>
  </si>
  <si>
    <t>=TEXT(NF(D754,"No."),"00000")</t>
  </si>
  <si>
    <t>=NF(D754,"Name")</t>
  </si>
  <si>
    <t>=NL("Sum","G/L Entry","Amount","Fund No.",$C$4,"Budget Plan No.",PYPLAN_FILTER,"G/L Account No.",$E754,"Department Code",Dept_Filter,"Transaction Type","Budget")</t>
  </si>
  <si>
    <t>=NL("Sum","Version LIne Worksheet","Amount","Fund No.",$C$4,"Plan No.",Plan_Filter,"G/L Account No.",$E754,"Department Code",Dept_Filter)</t>
  </si>
  <si>
    <t>=K754-I754</t>
  </si>
  <si>
    <t>=IF(I754=0,0,1)</t>
  </si>
  <si>
    <t>=IF(K754=0,0,1)</t>
  </si>
  <si>
    <t>=P754+Q754</t>
  </si>
  <si>
    <t>=IF(R755=0,"HIDE","SHOW")</t>
  </si>
  <si>
    <t>="""Mission ERP"",""GBRA"",""15"",""1"",""57214"""</t>
  </si>
  <si>
    <t>=TEXT(NF(D755,"No."),"00000")</t>
  </si>
  <si>
    <t>=NF(D755,"Name")</t>
  </si>
  <si>
    <t>=NL("Sum","G/L Entry","Amount","Fund No.",$C$4,"Budget Plan No.",PYPLAN_FILTER,"G/L Account No.",$E755,"Department Code",Dept_Filter,"Transaction Type","Budget")</t>
  </si>
  <si>
    <t>=NL("Sum","Version LIne Worksheet","Amount","Fund No.",$C$4,"Plan No.",Plan_Filter,"G/L Account No.",$E755,"Department Code",Dept_Filter)</t>
  </si>
  <si>
    <t>=K755-I755</t>
  </si>
  <si>
    <t>=IF(I755=0,0,1)</t>
  </si>
  <si>
    <t>=IF(K755=0,0,1)</t>
  </si>
  <si>
    <t>=P755+Q755</t>
  </si>
  <si>
    <t>=IF(R756=0,"HIDE","SHOW")</t>
  </si>
  <si>
    <t>="""Mission ERP"",""GBRA"",""15"",""1"",""57215"""</t>
  </si>
  <si>
    <t>=TEXT(NF(D756,"No."),"00000")</t>
  </si>
  <si>
    <t>=NF(D756,"Name")</t>
  </si>
  <si>
    <t>=NL("Sum","G/L Entry","Amount","Fund No.",$C$4,"Budget Plan No.",PYPLAN_FILTER,"G/L Account No.",$E756,"Department Code",Dept_Filter,"Transaction Type","Budget")</t>
  </si>
  <si>
    <t>=NL("Sum","Version LIne Worksheet","Amount","Fund No.",$C$4,"Plan No.",Plan_Filter,"G/L Account No.",$E756,"Department Code",Dept_Filter)</t>
  </si>
  <si>
    <t>=K756-I756</t>
  </si>
  <si>
    <t>=IF(I756=0,0,1)</t>
  </si>
  <si>
    <t>=IF(K756=0,0,1)</t>
  </si>
  <si>
    <t>=P756+Q756</t>
  </si>
  <si>
    <t>=IF(R757=0,"HIDE","SHOW")</t>
  </si>
  <si>
    <t>="""Mission ERP"",""GBRA"",""15"",""1"",""57216"""</t>
  </si>
  <si>
    <t>=TEXT(NF(D757,"No."),"00000")</t>
  </si>
  <si>
    <t>=NF(D757,"Name")</t>
  </si>
  <si>
    <t>=NL("Sum","G/L Entry","Amount","Fund No.",$C$4,"Budget Plan No.",PYPLAN_FILTER,"G/L Account No.",$E757,"Department Code",Dept_Filter,"Transaction Type","Budget")</t>
  </si>
  <si>
    <t>=NL("Sum","Version LIne Worksheet","Amount","Fund No.",$C$4,"Plan No.",Plan_Filter,"G/L Account No.",$E757,"Department Code",Dept_Filter)</t>
  </si>
  <si>
    <t>=K757-I757</t>
  </si>
  <si>
    <t>=IF(I757=0,0,1)</t>
  </si>
  <si>
    <t>=IF(K757=0,0,1)</t>
  </si>
  <si>
    <t>=P757+Q757</t>
  </si>
  <si>
    <t>=IF(R758=0,"HIDE","SHOW")</t>
  </si>
  <si>
    <t>="""Mission ERP"",""GBRA"",""15"",""1"",""57217"""</t>
  </si>
  <si>
    <t>=TEXT(NF(D758,"No."),"00000")</t>
  </si>
  <si>
    <t>=NF(D758,"Name")</t>
  </si>
  <si>
    <t>=NL("Sum","G/L Entry","Amount","Fund No.",$C$4,"Budget Plan No.",PYPLAN_FILTER,"G/L Account No.",$E758,"Department Code",Dept_Filter,"Transaction Type","Budget")</t>
  </si>
  <si>
    <t>=NL("Sum","Version LIne Worksheet","Amount","Fund No.",$C$4,"Plan No.",Plan_Filter,"G/L Account No.",$E758,"Department Code",Dept_Filter)</t>
  </si>
  <si>
    <t>=K758-I758</t>
  </si>
  <si>
    <t>=IF(I758=0,0,1)</t>
  </si>
  <si>
    <t>=IF(K758=0,0,1)</t>
  </si>
  <si>
    <t>=P758+Q758</t>
  </si>
  <si>
    <t>=IF(R759=0,"HIDE","SHOW")</t>
  </si>
  <si>
    <t>="""Mission ERP"",""GBRA"",""15"",""1"",""57218"""</t>
  </si>
  <si>
    <t>=TEXT(NF(D759,"No."),"00000")</t>
  </si>
  <si>
    <t>=NF(D759,"Name")</t>
  </si>
  <si>
    <t>=NL("Sum","G/L Entry","Amount","Fund No.",$C$4,"Budget Plan No.",PYPLAN_FILTER,"G/L Account No.",$E759,"Department Code",Dept_Filter,"Transaction Type","Budget")</t>
  </si>
  <si>
    <t>=NL("Sum","Version LIne Worksheet","Amount","Fund No.",$C$4,"Plan No.",Plan_Filter,"G/L Account No.",$E759,"Department Code",Dept_Filter)</t>
  </si>
  <si>
    <t>=K759-I759</t>
  </si>
  <si>
    <t>=IF(I759=0,0,1)</t>
  </si>
  <si>
    <t>=IF(K759=0,0,1)</t>
  </si>
  <si>
    <t>=P759+Q759</t>
  </si>
  <si>
    <t>=IF(R760=0,"HIDE","SHOW")</t>
  </si>
  <si>
    <t>="""Mission ERP"",""GBRA"",""15"",""1"",""57219"""</t>
  </si>
  <si>
    <t>=TEXT(NF(D760,"No."),"00000")</t>
  </si>
  <si>
    <t>=NF(D760,"Name")</t>
  </si>
  <si>
    <t>=NL("Sum","G/L Entry","Amount","Fund No.",$C$4,"Budget Plan No.",PYPLAN_FILTER,"G/L Account No.",$E760,"Department Code",Dept_Filter,"Transaction Type","Budget")</t>
  </si>
  <si>
    <t>=NL("Sum","Version LIne Worksheet","Amount","Fund No.",$C$4,"Plan No.",Plan_Filter,"G/L Account No.",$E760,"Department Code",Dept_Filter)</t>
  </si>
  <si>
    <t>=K760-I760</t>
  </si>
  <si>
    <t>=IF(I760=0,0,1)</t>
  </si>
  <si>
    <t>=IF(K760=0,0,1)</t>
  </si>
  <si>
    <t>=P760+Q760</t>
  </si>
  <si>
    <t>=IF(R761=0,"HIDE","SHOW")</t>
  </si>
  <si>
    <t>="""Mission ERP"",""GBRA"",""15"",""1"",""57220"""</t>
  </si>
  <si>
    <t>=TEXT(NF(D761,"No."),"00000")</t>
  </si>
  <si>
    <t>=NF(D761,"Name")</t>
  </si>
  <si>
    <t>=NL("Sum","G/L Entry","Amount","Fund No.",$C$4,"Budget Plan No.",PYPLAN_FILTER,"G/L Account No.",$E761,"Department Code",Dept_Filter,"Transaction Type","Budget")</t>
  </si>
  <si>
    <t>=NL("Sum","Version LIne Worksheet","Amount","Fund No.",$C$4,"Plan No.",Plan_Filter,"G/L Account No.",$E761,"Department Code",Dept_Filter)</t>
  </si>
  <si>
    <t>=K761-I761</t>
  </si>
  <si>
    <t>=IF(I761=0,0,1)</t>
  </si>
  <si>
    <t>=IF(K761=0,0,1)</t>
  </si>
  <si>
    <t>=P761+Q761</t>
  </si>
  <si>
    <t>=IF(R762=0,"HIDE","SHOW")</t>
  </si>
  <si>
    <t>="""Mission ERP"",""GBRA"",""15"",""1"",""57221"""</t>
  </si>
  <si>
    <t>=TEXT(NF(D762,"No."),"00000")</t>
  </si>
  <si>
    <t>=NF(D762,"Name")</t>
  </si>
  <si>
    <t>=NL("Sum","G/L Entry","Amount","Fund No.",$C$4,"Budget Plan No.",PYPLAN_FILTER,"G/L Account No.",$E762,"Department Code",Dept_Filter,"Transaction Type","Budget")</t>
  </si>
  <si>
    <t>=NL("Sum","Version LIne Worksheet","Amount","Fund No.",$C$4,"Plan No.",Plan_Filter,"G/L Account No.",$E762,"Department Code",Dept_Filter)</t>
  </si>
  <si>
    <t>=K762-I762</t>
  </si>
  <si>
    <t>=IF(I762=0,0,1)</t>
  </si>
  <si>
    <t>=IF(K762=0,0,1)</t>
  </si>
  <si>
    <t>=P762+Q762</t>
  </si>
  <si>
    <t>=IF(R763=0,"HIDE","SHOW")</t>
  </si>
  <si>
    <t>="""Mission ERP"",""GBRA"",""15"",""1"",""57222"""</t>
  </si>
  <si>
    <t>=TEXT(NF(D763,"No."),"00000")</t>
  </si>
  <si>
    <t>=NF(D763,"Name")</t>
  </si>
  <si>
    <t>=NL("Sum","G/L Entry","Amount","Fund No.",$C$4,"Budget Plan No.",PYPLAN_FILTER,"G/L Account No.",$E763,"Department Code",Dept_Filter,"Transaction Type","Budget")</t>
  </si>
  <si>
    <t>=NL("Sum","Version LIne Worksheet","Amount","Fund No.",$C$4,"Plan No.",Plan_Filter,"G/L Account No.",$E763,"Department Code",Dept_Filter)</t>
  </si>
  <si>
    <t>=K763-I763</t>
  </si>
  <si>
    <t>=IF(I763=0,0,1)</t>
  </si>
  <si>
    <t>=IF(K763=0,0,1)</t>
  </si>
  <si>
    <t>=P763+Q763</t>
  </si>
  <si>
    <t>=IF(R764=0,"HIDE","SHOW")</t>
  </si>
  <si>
    <t>="""Mission ERP"",""GBRA"",""15"",""1"",""57223"""</t>
  </si>
  <si>
    <t>=TEXT(NF(D764,"No."),"00000")</t>
  </si>
  <si>
    <t>=NF(D764,"Name")</t>
  </si>
  <si>
    <t>=NL("Sum","G/L Entry","Amount","Fund No.",$C$4,"Budget Plan No.",PYPLAN_FILTER,"G/L Account No.",$E764,"Department Code",Dept_Filter,"Transaction Type","Budget")</t>
  </si>
  <si>
    <t>=NL("Sum","Version LIne Worksheet","Amount","Fund No.",$C$4,"Plan No.",Plan_Filter,"G/L Account No.",$E764,"Department Code",Dept_Filter)</t>
  </si>
  <si>
    <t>=K764-I764</t>
  </si>
  <si>
    <t>=IF(I764=0,0,1)</t>
  </si>
  <si>
    <t>=IF(K764=0,0,1)</t>
  </si>
  <si>
    <t>=P764+Q764</t>
  </si>
  <si>
    <t>=IF(R765=0,"HIDE","SHOW")</t>
  </si>
  <si>
    <t>="""Mission ERP"",""GBRA"",""15"",""1"",""57224"""</t>
  </si>
  <si>
    <t>=TEXT(NF(D765,"No."),"00000")</t>
  </si>
  <si>
    <t>=NF(D765,"Name")</t>
  </si>
  <si>
    <t>=NL("Sum","G/L Entry","Amount","Fund No.",$C$4,"Budget Plan No.",PYPLAN_FILTER,"G/L Account No.",$E765,"Department Code",Dept_Filter,"Transaction Type","Budget")</t>
  </si>
  <si>
    <t>=NL("Sum","Version LIne Worksheet","Amount","Fund No.",$C$4,"Plan No.",Plan_Filter,"G/L Account No.",$E765,"Department Code",Dept_Filter)</t>
  </si>
  <si>
    <t>=K765-I765</t>
  </si>
  <si>
    <t>=IF(I765=0,0,1)</t>
  </si>
  <si>
    <t>=IF(K765=0,0,1)</t>
  </si>
  <si>
    <t>=P765+Q765</t>
  </si>
  <si>
    <t>=IF(R766=0,"HIDE","SHOW")</t>
  </si>
  <si>
    <t>="""Mission ERP"",""GBRA"",""15"",""1"",""57225"""</t>
  </si>
  <si>
    <t>=TEXT(NF(D766,"No."),"00000")</t>
  </si>
  <si>
    <t>=NF(D766,"Name")</t>
  </si>
  <si>
    <t>=NL("Sum","G/L Entry","Amount","Fund No.",$C$4,"Budget Plan No.",PYPLAN_FILTER,"G/L Account No.",$E766,"Department Code",Dept_Filter,"Transaction Type","Budget")</t>
  </si>
  <si>
    <t>=NL("Sum","Version LIne Worksheet","Amount","Fund No.",$C$4,"Plan No.",Plan_Filter,"G/L Account No.",$E766,"Department Code",Dept_Filter)</t>
  </si>
  <si>
    <t>=K766-I766</t>
  </si>
  <si>
    <t>=IF(I766=0,0,1)</t>
  </si>
  <si>
    <t>=IF(K766=0,0,1)</t>
  </si>
  <si>
    <t>=P766+Q766</t>
  </si>
  <si>
    <t>=IF(R767=0,"HIDE","SHOW")</t>
  </si>
  <si>
    <t>="""Mission ERP"",""GBRA"",""15"",""1"",""57226"""</t>
  </si>
  <si>
    <t>=TEXT(NF(D767,"No."),"00000")</t>
  </si>
  <si>
    <t>=NF(D767,"Name")</t>
  </si>
  <si>
    <t>=NL("Sum","G/L Entry","Amount","Fund No.",$C$4,"Budget Plan No.",PYPLAN_FILTER,"G/L Account No.",$E767,"Department Code",Dept_Filter,"Transaction Type","Budget")</t>
  </si>
  <si>
    <t>=NL("Sum","Version LIne Worksheet","Amount","Fund No.",$C$4,"Plan No.",Plan_Filter,"G/L Account No.",$E767,"Department Code",Dept_Filter)</t>
  </si>
  <si>
    <t>=K767-I767</t>
  </si>
  <si>
    <t>=IF(I767=0,0,1)</t>
  </si>
  <si>
    <t>=IF(K767=0,0,1)</t>
  </si>
  <si>
    <t>=P767+Q767</t>
  </si>
  <si>
    <t>=IF(R768=0,"HIDE","SHOW")</t>
  </si>
  <si>
    <t>="""Mission ERP"",""GBRA"",""15"",""1"",""57227"""</t>
  </si>
  <si>
    <t>=TEXT(NF(D768,"No."),"00000")</t>
  </si>
  <si>
    <t>=NF(D768,"Name")</t>
  </si>
  <si>
    <t>=NL("Sum","G/L Entry","Amount","Fund No.",$C$4,"Budget Plan No.",PYPLAN_FILTER,"G/L Account No.",$E768,"Department Code",Dept_Filter,"Transaction Type","Budget")</t>
  </si>
  <si>
    <t>=NL("Sum","Version LIne Worksheet","Amount","Fund No.",$C$4,"Plan No.",Plan_Filter,"G/L Account No.",$E768,"Department Code",Dept_Filter)</t>
  </si>
  <si>
    <t>=K768-I768</t>
  </si>
  <si>
    <t>=IF(I768=0,0,1)</t>
  </si>
  <si>
    <t>=IF(K768=0,0,1)</t>
  </si>
  <si>
    <t>=P768+Q768</t>
  </si>
  <si>
    <t>=IF(R769=0,"HIDE","SHOW")</t>
  </si>
  <si>
    <t>="""Mission ERP"",""GBRA"",""15"",""1"",""57250"""</t>
  </si>
  <si>
    <t>=TEXT(NF(D769,"No."),"00000")</t>
  </si>
  <si>
    <t>=NF(D769,"Name")</t>
  </si>
  <si>
    <t>=NL("Sum","G/L Entry","Amount","Fund No.",$C$4,"Budget Plan No.",PYPLAN_FILTER,"G/L Account No.",$E769,"Department Code",Dept_Filter,"Transaction Type","Budget")</t>
  </si>
  <si>
    <t>=NL("Sum","Version LIne Worksheet","Amount","Fund No.",$C$4,"Plan No.",Plan_Filter,"G/L Account No.",$E769,"Department Code",Dept_Filter)</t>
  </si>
  <si>
    <t>=K769-I769</t>
  </si>
  <si>
    <t>=IF(I769=0,0,1)</t>
  </si>
  <si>
    <t>=IF(K769=0,0,1)</t>
  </si>
  <si>
    <t>=P769+Q769</t>
  </si>
  <si>
    <t>=IF(R771=0,"HIDE","SHOW")</t>
  </si>
  <si>
    <t>=CONCATENATE("Total ",F738)</t>
  </si>
  <si>
    <t>=SUM(I739:I770)</t>
  </si>
  <si>
    <t>=SUM(K739:K770)</t>
  </si>
  <si>
    <t>=K771-I771</t>
  </si>
  <si>
    <t>=IF(I771=0,0,1)</t>
  </si>
  <si>
    <t>=IF(K771=0,0,1)</t>
  </si>
  <si>
    <t>=P771+Q771</t>
  </si>
  <si>
    <t>=B777</t>
  </si>
  <si>
    <t>=NL("First","G/L Account","Name","No.",C774)</t>
  </si>
  <si>
    <t>=IF(R775=0,"HIDE","SHOW")</t>
  </si>
  <si>
    <t>=NL("Rows","G/L Account",,"No.",C775,"Account Type","Posting")</t>
  </si>
  <si>
    <t>=NF(D775,"No.")</t>
  </si>
  <si>
    <t>=NF(D775,"Name")</t>
  </si>
  <si>
    <t>=NL("Sum","G/L Entry","Amount","Fund No.",$C$4,"Budget Plan No.",PYPLAN_FILTER,"G/L Account No.",$E775,"Department Code",Dept_Filter,"Transaction Type","Budget")</t>
  </si>
  <si>
    <t>=NL("Sum","Version LIne Worksheet","Amount","Fund No.",$C$4,"Plan No.",Plan_Filter,"G/L Account No.",$E775,"Department Code",Dept_Filter)</t>
  </si>
  <si>
    <t>=K775-I775</t>
  </si>
  <si>
    <t>=IF(I775=0,0,1)</t>
  </si>
  <si>
    <t>=IF(K775=0,0,1)</t>
  </si>
  <si>
    <t>=P775+Q775</t>
  </si>
  <si>
    <t>=IF(R777=0,"HIDE","SHOW")</t>
  </si>
  <si>
    <t>=CONCATENATE("Total ",F774)</t>
  </si>
  <si>
    <t>=SUM(I775:I776)</t>
  </si>
  <si>
    <t>=SUM(K775:K776)</t>
  </si>
  <si>
    <t>=K777-I777</t>
  </si>
  <si>
    <t>=IF(I777=0,0,1)</t>
  </si>
  <si>
    <t>=IF(K777=0,0,1)</t>
  </si>
  <si>
    <t>=P777+Q777</t>
  </si>
  <si>
    <t>=IF(R779=0,"HIDE","SHOW")</t>
  </si>
  <si>
    <t>=I736+I771+I777</t>
  </si>
  <si>
    <t>=K736+K771+K777</t>
  </si>
  <si>
    <t>=K779-I779</t>
  </si>
  <si>
    <t>=IF(I779=0,0,1)</t>
  </si>
  <si>
    <t>=IF(K779=0,0,1)</t>
  </si>
  <si>
    <t>=P779+Q779</t>
  </si>
  <si>
    <t>=B782</t>
  </si>
  <si>
    <t>=I662-I779</t>
  </si>
  <si>
    <t>=K662-K779</t>
  </si>
  <si>
    <t>=K781-I781</t>
  </si>
  <si>
    <t>=IF(I781=0,0,1)</t>
  </si>
  <si>
    <t>=IF(K781=0,0,1)</t>
  </si>
  <si>
    <t>=P781+Q781</t>
  </si>
  <si>
    <t>=I542+I781</t>
  </si>
  <si>
    <t>=K542+K781</t>
  </si>
  <si>
    <t>=K783-I783</t>
  </si>
  <si>
    <t>=IF(I783=0,0,1)</t>
  </si>
  <si>
    <t>=IF(K783=0,0,1)</t>
  </si>
  <si>
    <t>=P783+Q783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</si>
</sst>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164" fontId="0" fillId="0" borderId="0" xfId="0" applyNumberFormat="1"/>
    <xf numFmtId="0" fontId="0" fillId="2" borderId="0" xfId="0" quotePrefix="1" applyFill="1"/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opLeftCell="B2" workbookViewId="0">
      <selection activeCell="D11" sqref="D11"/>
    </sheetView>
  </sheetViews>
  <sheetFormatPr defaultRowHeight="15"/>
  <cols>
    <col min="1" max="1" width="9.140625" hidden="1" customWidth="1"/>
    <col min="3" max="3" width="16.7109375" bestFit="1" customWidth="1"/>
    <col min="4" max="4" width="9.7109375" bestFit="1" customWidth="1"/>
  </cols>
  <sheetData>
    <row r="1" spans="1:4" hidden="1">
      <c r="A1" t="s">
        <v>0</v>
      </c>
      <c r="C1" t="s">
        <v>1</v>
      </c>
      <c r="D1" t="s">
        <v>2</v>
      </c>
    </row>
    <row r="5" spans="1:4">
      <c r="A5" t="s">
        <v>3</v>
      </c>
      <c r="C5" t="s">
        <v>4</v>
      </c>
      <c r="D5" s="18" t="s">
        <v>5</v>
      </c>
    </row>
    <row r="6" spans="1:4">
      <c r="A6" t="s">
        <v>3</v>
      </c>
      <c r="C6" t="s">
        <v>6</v>
      </c>
      <c r="D6" s="18" t="s">
        <v>5</v>
      </c>
    </row>
    <row r="7" spans="1:4">
      <c r="A7" t="s">
        <v>3</v>
      </c>
      <c r="C7" t="s">
        <v>7</v>
      </c>
      <c r="D7" s="2">
        <v>46265</v>
      </c>
    </row>
    <row r="8" spans="1:4">
      <c r="A8" t="s">
        <v>3</v>
      </c>
      <c r="C8" t="s">
        <v>8</v>
      </c>
      <c r="D8" s="1" t="s">
        <v>9</v>
      </c>
    </row>
    <row r="9" spans="1:4">
      <c r="A9" t="s">
        <v>3</v>
      </c>
      <c r="C9" t="s">
        <v>10</v>
      </c>
      <c r="D9" s="1" t="s">
        <v>11</v>
      </c>
    </row>
    <row r="10" spans="1:4">
      <c r="A10" t="s">
        <v>3</v>
      </c>
      <c r="C10" t="s">
        <v>12</v>
      </c>
      <c r="D10" s="1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4"/>
  <sheetViews>
    <sheetView tabSelected="1" topLeftCell="E2" zoomScaleNormal="100" workbookViewId="0">
      <selection activeCell="E2" sqref="E2"/>
    </sheetView>
  </sheetViews>
  <sheetFormatPr defaultRowHeight="15"/>
  <cols>
    <col min="1" max="2" width="9.140625" hidden="1" customWidth="1"/>
    <col min="3" max="3" width="14.85546875" hidden="1" customWidth="1"/>
    <col min="4" max="4" width="9.140625" hidden="1" customWidth="1"/>
    <col min="5" max="5" width="6.7109375" customWidth="1"/>
    <col min="6" max="6" width="38.7109375" customWidth="1"/>
    <col min="7" max="8" width="1.7109375" customWidth="1"/>
    <col min="9" max="9" width="11.5703125" style="4" bestFit="1" customWidth="1"/>
    <col min="10" max="10" width="3.7109375" style="4" customWidth="1"/>
    <col min="11" max="11" width="11.5703125" style="4" bestFit="1" customWidth="1"/>
    <col min="12" max="12" width="3.7109375" style="4" customWidth="1"/>
    <col min="13" max="13" width="12.28515625" style="4" bestFit="1" customWidth="1"/>
    <col min="16" max="18" width="9.140625" hidden="1" customWidth="1"/>
    <col min="19" max="19" width="11.28515625" bestFit="1" customWidth="1"/>
  </cols>
  <sheetData>
    <row r="1" spans="1:19" hidden="1">
      <c r="A1" t="s">
        <v>14</v>
      </c>
      <c r="B1" t="s">
        <v>15</v>
      </c>
      <c r="C1" t="s">
        <v>16</v>
      </c>
      <c r="D1" t="s">
        <v>16</v>
      </c>
      <c r="E1" t="str">
        <f>IF(Acct="No","HIDE","SHOW")</f>
        <v>SHOW</v>
      </c>
      <c r="F1" t="s">
        <v>17</v>
      </c>
      <c r="I1" t="s">
        <v>18</v>
      </c>
      <c r="J1"/>
      <c r="K1" t="s">
        <v>18</v>
      </c>
      <c r="L1"/>
      <c r="M1" t="s">
        <v>18</v>
      </c>
      <c r="P1" t="s">
        <v>16</v>
      </c>
      <c r="Q1" t="s">
        <v>16</v>
      </c>
      <c r="R1" t="s">
        <v>16</v>
      </c>
    </row>
    <row r="2" spans="1:19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9">
      <c r="F3" s="21" t="s">
        <v>19</v>
      </c>
      <c r="G3" s="21"/>
      <c r="H3" s="21"/>
      <c r="I3" s="21"/>
      <c r="J3" s="21"/>
      <c r="K3" s="21"/>
      <c r="L3" s="21"/>
      <c r="M3" s="21"/>
    </row>
    <row r="4" spans="1:19">
      <c r="C4" t="str">
        <f>"*"</f>
        <v>*</v>
      </c>
      <c r="F4" s="21" t="s">
        <v>20</v>
      </c>
      <c r="G4" s="21"/>
      <c r="H4" s="21"/>
      <c r="I4" s="21"/>
      <c r="J4" s="21"/>
      <c r="K4" s="21"/>
      <c r="L4" s="21"/>
      <c r="M4" s="21"/>
      <c r="P4">
        <f>IF(I335=0,0,1)</f>
        <v>1</v>
      </c>
      <c r="Q4">
        <f>IF(K335=0,0,1)</f>
        <v>1</v>
      </c>
    </row>
    <row r="5" spans="1:19">
      <c r="C5" t="str">
        <f>"*"</f>
        <v>*</v>
      </c>
      <c r="F5" s="21" t="str">
        <f>CONCATENATE("Fiscal Year Ending"," ",TEXT(Date_Filter,"MMMMMMMMM DD, YYYY"))</f>
        <v>Fiscal Year Ending August 31, 2026</v>
      </c>
      <c r="G5" s="21"/>
      <c r="H5" s="21"/>
      <c r="I5" s="21"/>
      <c r="J5" s="21"/>
      <c r="K5" s="21"/>
      <c r="L5" s="21"/>
      <c r="M5" s="21"/>
      <c r="P5">
        <f>IF(I540=0,0,1)</f>
        <v>1</v>
      </c>
      <c r="Q5">
        <f>IF(K540=0,0,1)</f>
        <v>1</v>
      </c>
    </row>
    <row r="6" spans="1:19">
      <c r="I6"/>
      <c r="J6"/>
      <c r="K6"/>
      <c r="L6"/>
      <c r="M6"/>
    </row>
    <row r="7" spans="1:19">
      <c r="F7" s="21" t="str">
        <f>"Fund: "&amp;$C$4</f>
        <v>Fund: *</v>
      </c>
      <c r="G7" s="21"/>
      <c r="H7" s="21"/>
      <c r="I7" s="21"/>
      <c r="J7" s="21"/>
      <c r="K7" s="21"/>
      <c r="L7" s="21"/>
      <c r="M7" s="21"/>
    </row>
    <row r="8" spans="1:19">
      <c r="F8" s="21" t="str">
        <f>"Department: "&amp;$C$5</f>
        <v>Department: *</v>
      </c>
      <c r="G8" s="21"/>
      <c r="H8" s="21"/>
      <c r="I8" s="21"/>
      <c r="J8" s="21"/>
      <c r="K8" s="21"/>
      <c r="L8" s="21"/>
      <c r="M8" s="21"/>
    </row>
    <row r="9" spans="1:19">
      <c r="I9"/>
      <c r="J9"/>
      <c r="K9"/>
      <c r="L9"/>
      <c r="M9"/>
    </row>
    <row r="10" spans="1:19">
      <c r="I10" s="20" t="str">
        <f>CONCATENATE("FY ",YEAR(Date_Filter)-1)</f>
        <v>FY 2025</v>
      </c>
      <c r="J10" s="20"/>
      <c r="K10" s="20" t="str">
        <f>CONCATENATE("FY ",YEAR(Date_Filter))</f>
        <v>FY 2026</v>
      </c>
      <c r="L10" s="7"/>
      <c r="M10" s="20" t="str">
        <f>CONCATENATE("FY ",YEAR(Date_Filter),"-",YEAR(Date_Filter)-1)</f>
        <v>FY 2026-2025</v>
      </c>
    </row>
    <row r="11" spans="1:19">
      <c r="I11" s="20" t="s">
        <v>21</v>
      </c>
      <c r="J11" s="20"/>
      <c r="K11" s="20" t="s">
        <v>21</v>
      </c>
      <c r="L11" s="7"/>
      <c r="M11" s="20" t="s">
        <v>22</v>
      </c>
    </row>
    <row r="12" spans="1:19" ht="18.75">
      <c r="F12" s="5" t="s">
        <v>23</v>
      </c>
      <c r="I12" s="3"/>
      <c r="J12" s="3"/>
      <c r="K12" s="3"/>
      <c r="L12"/>
      <c r="M12" s="3"/>
    </row>
    <row r="13" spans="1:19" ht="18.75">
      <c r="F13" s="5"/>
      <c r="I13" s="3"/>
      <c r="J13" s="3"/>
      <c r="K13" s="3"/>
      <c r="L13"/>
      <c r="M13" s="3"/>
    </row>
    <row r="14" spans="1:19" ht="15.75">
      <c r="F14" s="6" t="s">
        <v>24</v>
      </c>
    </row>
    <row r="15" spans="1:19">
      <c r="B15" t="str">
        <f>B37</f>
        <v>SHOW</v>
      </c>
      <c r="C15">
        <v>41100</v>
      </c>
      <c r="F15" s="3" t="str">
        <f>"Water Treatment"</f>
        <v>Water Treatment</v>
      </c>
    </row>
    <row r="16" spans="1:19">
      <c r="B16" t="str">
        <f>IF(R16=0,"HIDE","SHOW")</f>
        <v>SHOW</v>
      </c>
      <c r="C16" t="s">
        <v>25</v>
      </c>
      <c r="D16" t="str">
        <f>"""Mission ERP"",""GBRA"",""15"",""1"",""41101"""</f>
        <v>"Mission ERP","GBRA","15","1","41101"</v>
      </c>
      <c r="E16" t="str">
        <f>"41101"</f>
        <v>41101</v>
      </c>
      <c r="F16" t="str">
        <f>"PLANT O&amp;M"</f>
        <v>PLANT O&amp;M</v>
      </c>
      <c r="I16" s="8">
        <v>4958565</v>
      </c>
      <c r="J16" s="8"/>
      <c r="K16" s="8">
        <v>8142625</v>
      </c>
      <c r="L16" s="8"/>
      <c r="M16" s="8">
        <f>K16-I16</f>
        <v>3184060</v>
      </c>
      <c r="P16">
        <f>IF(I16=0,0,1)</f>
        <v>1</v>
      </c>
      <c r="Q16">
        <f>IF(K16=0,0,1)</f>
        <v>1</v>
      </c>
      <c r="R16">
        <f>P16+Q16</f>
        <v>2</v>
      </c>
      <c r="S16" s="17"/>
    </row>
    <row r="17" spans="1:19">
      <c r="A17" t="s">
        <v>26</v>
      </c>
      <c r="B17" t="str">
        <f t="shared" ref="B17:B35" si="0">IF(R17=0,"HIDE","SHOW")</f>
        <v>SHOW</v>
      </c>
      <c r="C17" t="s">
        <v>25</v>
      </c>
      <c r="D17" t="str">
        <f>"""Mission ERP"",""GBRA"",""15"",""1"",""41102"""</f>
        <v>"Mission ERP","GBRA","15","1","41102"</v>
      </c>
      <c r="E17" t="str">
        <f>"41102"</f>
        <v>41102</v>
      </c>
      <c r="F17" t="str">
        <f>"PLANT A&amp;G"</f>
        <v>PLANT A&amp;G</v>
      </c>
      <c r="I17" s="8">
        <v>396239</v>
      </c>
      <c r="J17" s="8"/>
      <c r="K17" s="8">
        <v>420609</v>
      </c>
      <c r="L17" s="8"/>
      <c r="M17" s="8">
        <f t="shared" ref="M17:M35" si="1">K17-I17</f>
        <v>24370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  <c r="S17" s="17"/>
    </row>
    <row r="18" spans="1:19" hidden="1">
      <c r="A18" t="s">
        <v>26</v>
      </c>
      <c r="B18" t="str">
        <f t="shared" si="0"/>
        <v>HIDE</v>
      </c>
      <c r="C18" t="s">
        <v>25</v>
      </c>
      <c r="D18" t="str">
        <f>"""Mission ERP"",""GBRA"",""15"",""1"",""41103"""</f>
        <v>"Mission ERP","GBRA","15","1","41103"</v>
      </c>
      <c r="E18" t="str">
        <f>"41103"</f>
        <v>41103</v>
      </c>
      <c r="F18" t="str">
        <f>"PLANT ADD TO PLANT &amp; EQUIP"</f>
        <v>PLANT ADD TO PLANT &amp; EQUIP</v>
      </c>
      <c r="I18" s="8">
        <v>0</v>
      </c>
      <c r="J18" s="8"/>
      <c r="K18" s="8">
        <v>0</v>
      </c>
      <c r="L18" s="8"/>
      <c r="M18" s="8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 s="17"/>
    </row>
    <row r="19" spans="1:19" hidden="1">
      <c r="A19" t="s">
        <v>26</v>
      </c>
      <c r="B19" t="str">
        <f t="shared" si="0"/>
        <v>HIDE</v>
      </c>
      <c r="C19" t="s">
        <v>25</v>
      </c>
      <c r="D19" t="str">
        <f>"""Mission ERP"",""GBRA"",""15"",""1"",""41110"""</f>
        <v>"Mission ERP","GBRA","15","1","41110"</v>
      </c>
      <c r="E19" t="str">
        <f>"41110"</f>
        <v>41110</v>
      </c>
      <c r="F19" t="str">
        <f>"PL-RAW WATER DELIVERY"</f>
        <v>PL-RAW WATER DELIVERY</v>
      </c>
      <c r="I19" s="8">
        <v>0</v>
      </c>
      <c r="J19" s="8"/>
      <c r="K19" s="8">
        <v>0</v>
      </c>
      <c r="L19" s="8"/>
      <c r="M19" s="8">
        <f t="shared" si="1"/>
        <v>0</v>
      </c>
      <c r="P19">
        <f t="shared" si="2"/>
        <v>0</v>
      </c>
      <c r="Q19">
        <f t="shared" si="3"/>
        <v>0</v>
      </c>
      <c r="R19">
        <f t="shared" si="4"/>
        <v>0</v>
      </c>
      <c r="S19" s="17"/>
    </row>
    <row r="20" spans="1:19" hidden="1">
      <c r="A20" t="s">
        <v>26</v>
      </c>
      <c r="B20" t="str">
        <f t="shared" si="0"/>
        <v>HIDE</v>
      </c>
      <c r="C20" t="s">
        <v>25</v>
      </c>
      <c r="D20" t="str">
        <f>"""Mission ERP"",""GBRA"",""15"",""1"",""41111"""</f>
        <v>"Mission ERP","GBRA","15","1","41111"</v>
      </c>
      <c r="E20" t="str">
        <f>"41111"</f>
        <v>41111</v>
      </c>
      <c r="F20" t="str">
        <f>"PL-PLANT O&amp;M INCOME"</f>
        <v>PL-PLANT O&amp;M INCOME</v>
      </c>
      <c r="I20" s="8">
        <v>0</v>
      </c>
      <c r="J20" s="8"/>
      <c r="K20" s="8">
        <v>0</v>
      </c>
      <c r="L20" s="8"/>
      <c r="M20" s="8">
        <f t="shared" si="1"/>
        <v>0</v>
      </c>
      <c r="P20">
        <f t="shared" si="2"/>
        <v>0</v>
      </c>
      <c r="Q20">
        <f t="shared" si="3"/>
        <v>0</v>
      </c>
      <c r="R20">
        <f t="shared" si="4"/>
        <v>0</v>
      </c>
      <c r="S20" s="17"/>
    </row>
    <row r="21" spans="1:19" hidden="1">
      <c r="A21" t="s">
        <v>26</v>
      </c>
      <c r="B21" t="str">
        <f t="shared" si="0"/>
        <v>HIDE</v>
      </c>
      <c r="C21" t="s">
        <v>25</v>
      </c>
      <c r="D21" t="str">
        <f>"""Mission ERP"",""GBRA"",""15"",""1"",""41112"""</f>
        <v>"Mission ERP","GBRA","15","1","41112"</v>
      </c>
      <c r="E21" t="str">
        <f>"41112"</f>
        <v>41112</v>
      </c>
      <c r="F21" t="str">
        <f>"PL-PLANT A&amp;G INCOME"</f>
        <v>PL-PLANT A&amp;G INCOME</v>
      </c>
      <c r="I21" s="8">
        <v>0</v>
      </c>
      <c r="J21" s="8"/>
      <c r="K21" s="8">
        <v>0</v>
      </c>
      <c r="L21" s="8"/>
      <c r="M21" s="8">
        <f t="shared" si="1"/>
        <v>0</v>
      </c>
      <c r="P21">
        <f t="shared" si="2"/>
        <v>0</v>
      </c>
      <c r="Q21">
        <f t="shared" si="3"/>
        <v>0</v>
      </c>
      <c r="R21">
        <f t="shared" si="4"/>
        <v>0</v>
      </c>
      <c r="S21" s="17"/>
    </row>
    <row r="22" spans="1:19" hidden="1">
      <c r="A22" t="s">
        <v>26</v>
      </c>
      <c r="B22" t="str">
        <f t="shared" si="0"/>
        <v>HIDE</v>
      </c>
      <c r="C22" t="s">
        <v>25</v>
      </c>
      <c r="D22" t="str">
        <f>"""Mission ERP"",""GBRA"",""15"",""1"",""41113"""</f>
        <v>"Mission ERP","GBRA","15","1","41113"</v>
      </c>
      <c r="E22" t="str">
        <f>"41113"</f>
        <v>41113</v>
      </c>
      <c r="F22" t="str">
        <f>"PL-ADD TO PLANT &amp; EQUIP"</f>
        <v>PL-ADD TO PLANT &amp; EQUIP</v>
      </c>
      <c r="I22" s="8">
        <v>0</v>
      </c>
      <c r="J22" s="8"/>
      <c r="K22" s="8">
        <v>0</v>
      </c>
      <c r="L22" s="8"/>
      <c r="M22" s="8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  <c r="S22" s="17"/>
    </row>
    <row r="23" spans="1:19" hidden="1">
      <c r="A23" t="s">
        <v>26</v>
      </c>
      <c r="B23" t="str">
        <f t="shared" si="0"/>
        <v>HIDE</v>
      </c>
      <c r="C23" t="s">
        <v>25</v>
      </c>
      <c r="D23" t="str">
        <f>"""Mission ERP"",""GBRA"",""15"",""1"",""41115"""</f>
        <v>"Mission ERP","GBRA","15","1","41115"</v>
      </c>
      <c r="E23" t="str">
        <f>"41115"</f>
        <v>41115</v>
      </c>
      <c r="F23" t="str">
        <f>"POC-RAW WATER PURCHASES"</f>
        <v>POC-RAW WATER PURCHASES</v>
      </c>
      <c r="I23" s="8">
        <v>0</v>
      </c>
      <c r="J23" s="8"/>
      <c r="K23" s="8">
        <v>0</v>
      </c>
      <c r="L23" s="8"/>
      <c r="M23" s="8">
        <f t="shared" si="1"/>
        <v>0</v>
      </c>
      <c r="P23">
        <f t="shared" si="2"/>
        <v>0</v>
      </c>
      <c r="Q23">
        <f t="shared" si="3"/>
        <v>0</v>
      </c>
      <c r="R23">
        <f t="shared" si="4"/>
        <v>0</v>
      </c>
      <c r="S23" s="17"/>
    </row>
    <row r="24" spans="1:19" hidden="1">
      <c r="A24" t="s">
        <v>26</v>
      </c>
      <c r="B24" t="str">
        <f t="shared" si="0"/>
        <v>HIDE</v>
      </c>
      <c r="C24" t="s">
        <v>25</v>
      </c>
      <c r="D24" t="str">
        <f>"""Mission ERP"",""GBRA"",""15"",""1"",""41116"""</f>
        <v>"Mission ERP","GBRA","15","1","41116"</v>
      </c>
      <c r="E24" t="str">
        <f>"41116"</f>
        <v>41116</v>
      </c>
      <c r="F24" t="str">
        <f>"POC-PLANT O&amp;M INCOME"</f>
        <v>POC-PLANT O&amp;M INCOME</v>
      </c>
      <c r="I24" s="8">
        <v>0</v>
      </c>
      <c r="J24" s="8"/>
      <c r="K24" s="8">
        <v>0</v>
      </c>
      <c r="L24" s="8"/>
      <c r="M24" s="8">
        <f t="shared" si="1"/>
        <v>0</v>
      </c>
      <c r="P24">
        <f t="shared" si="2"/>
        <v>0</v>
      </c>
      <c r="Q24">
        <f t="shared" si="3"/>
        <v>0</v>
      </c>
      <c r="R24">
        <f t="shared" si="4"/>
        <v>0</v>
      </c>
      <c r="S24" s="17"/>
    </row>
    <row r="25" spans="1:19" hidden="1">
      <c r="A25" t="s">
        <v>26</v>
      </c>
      <c r="B25" t="str">
        <f t="shared" si="0"/>
        <v>HIDE</v>
      </c>
      <c r="C25" t="s">
        <v>25</v>
      </c>
      <c r="D25" t="str">
        <f>"""Mission ERP"",""GBRA"",""15"",""1"",""41117"""</f>
        <v>"Mission ERP","GBRA","15","1","41117"</v>
      </c>
      <c r="E25" t="str">
        <f>"41117"</f>
        <v>41117</v>
      </c>
      <c r="F25" t="str">
        <f>"POC-PLANT A&amp;G INCOME"</f>
        <v>POC-PLANT A&amp;G INCOME</v>
      </c>
      <c r="I25" s="8">
        <v>0</v>
      </c>
      <c r="J25" s="8"/>
      <c r="K25" s="8">
        <v>0</v>
      </c>
      <c r="L25" s="8"/>
      <c r="M25" s="8">
        <f t="shared" si="1"/>
        <v>0</v>
      </c>
      <c r="P25">
        <f t="shared" si="2"/>
        <v>0</v>
      </c>
      <c r="Q25">
        <f t="shared" si="3"/>
        <v>0</v>
      </c>
      <c r="R25">
        <f t="shared" si="4"/>
        <v>0</v>
      </c>
      <c r="S25" s="17"/>
    </row>
    <row r="26" spans="1:19" hidden="1">
      <c r="A26" t="s">
        <v>26</v>
      </c>
      <c r="B26" t="str">
        <f t="shared" si="0"/>
        <v>HIDE</v>
      </c>
      <c r="C26" t="s">
        <v>25</v>
      </c>
      <c r="D26" t="str">
        <f>"""Mission ERP"",""GBRA"",""15"",""1"",""41118"""</f>
        <v>"Mission ERP","GBRA","15","1","41118"</v>
      </c>
      <c r="E26" t="str">
        <f>"41118"</f>
        <v>41118</v>
      </c>
      <c r="F26" t="str">
        <f>"POC-ADD TO PLANT &amp; EQUIP"</f>
        <v>POC-ADD TO PLANT &amp; EQUIP</v>
      </c>
      <c r="I26" s="8">
        <v>0</v>
      </c>
      <c r="J26" s="8"/>
      <c r="K26" s="8">
        <v>0</v>
      </c>
      <c r="L26" s="8"/>
      <c r="M26" s="8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  <c r="S26" s="17"/>
    </row>
    <row r="27" spans="1:19" hidden="1">
      <c r="A27" t="s">
        <v>26</v>
      </c>
      <c r="B27" t="str">
        <f t="shared" si="0"/>
        <v>HIDE</v>
      </c>
      <c r="C27" t="s">
        <v>25</v>
      </c>
      <c r="D27" t="str">
        <f>"""Mission ERP"",""GBRA"",""15"",""1"",""41125"""</f>
        <v>"Mission ERP","GBRA","15","1","41125"</v>
      </c>
      <c r="E27" t="str">
        <f>"41125"</f>
        <v>41125</v>
      </c>
      <c r="F27" t="str">
        <f>"RW-RAW WATER PURCHASE"</f>
        <v>RW-RAW WATER PURCHASE</v>
      </c>
      <c r="I27" s="8">
        <v>0</v>
      </c>
      <c r="J27" s="8"/>
      <c r="K27" s="8">
        <v>0</v>
      </c>
      <c r="L27" s="8"/>
      <c r="M27" s="8">
        <f t="shared" si="1"/>
        <v>0</v>
      </c>
      <c r="P27">
        <f t="shared" si="2"/>
        <v>0</v>
      </c>
      <c r="Q27">
        <f t="shared" si="3"/>
        <v>0</v>
      </c>
      <c r="R27">
        <f t="shared" si="4"/>
        <v>0</v>
      </c>
      <c r="S27" s="17"/>
    </row>
    <row r="28" spans="1:19" hidden="1">
      <c r="A28" t="s">
        <v>26</v>
      </c>
      <c r="B28" t="str">
        <f t="shared" si="0"/>
        <v>HIDE</v>
      </c>
      <c r="C28" t="s">
        <v>25</v>
      </c>
      <c r="D28" t="str">
        <f>"""Mission ERP"",""GBRA"",""15"",""1"",""41126"""</f>
        <v>"Mission ERP","GBRA","15","1","41126"</v>
      </c>
      <c r="E28" t="str">
        <f>"41126"</f>
        <v>41126</v>
      </c>
      <c r="F28" t="str">
        <f>"RW-WATER TREATMENT"</f>
        <v>RW-WATER TREATMENT</v>
      </c>
      <c r="I28" s="8">
        <v>0</v>
      </c>
      <c r="J28" s="8"/>
      <c r="K28" s="8">
        <v>0</v>
      </c>
      <c r="L28" s="8"/>
      <c r="M28" s="8">
        <f t="shared" si="1"/>
        <v>0</v>
      </c>
      <c r="P28">
        <f t="shared" si="2"/>
        <v>0</v>
      </c>
      <c r="Q28">
        <f t="shared" si="3"/>
        <v>0</v>
      </c>
      <c r="R28">
        <f t="shared" si="4"/>
        <v>0</v>
      </c>
      <c r="S28" s="17"/>
    </row>
    <row r="29" spans="1:19" hidden="1">
      <c r="A29" t="s">
        <v>26</v>
      </c>
      <c r="B29" t="str">
        <f t="shared" si="0"/>
        <v>HIDE</v>
      </c>
      <c r="C29" t="s">
        <v>25</v>
      </c>
      <c r="D29" t="str">
        <f>"""Mission ERP"",""GBRA"",""15"",""1"",""41127"""</f>
        <v>"Mission ERP","GBRA","15","1","41127"</v>
      </c>
      <c r="E29" t="str">
        <f>"41127"</f>
        <v>41127</v>
      </c>
      <c r="F29" t="str">
        <f>"RW-PLANT A&amp;G INCOME"</f>
        <v>RW-PLANT A&amp;G INCOME</v>
      </c>
      <c r="I29" s="8">
        <v>0</v>
      </c>
      <c r="J29" s="8"/>
      <c r="K29" s="8">
        <v>0</v>
      </c>
      <c r="L29" s="8"/>
      <c r="M29" s="8">
        <f t="shared" si="1"/>
        <v>0</v>
      </c>
      <c r="P29">
        <f t="shared" si="2"/>
        <v>0</v>
      </c>
      <c r="Q29">
        <f t="shared" si="3"/>
        <v>0</v>
      </c>
      <c r="R29">
        <f t="shared" si="4"/>
        <v>0</v>
      </c>
      <c r="S29" s="17"/>
    </row>
    <row r="30" spans="1:19" hidden="1">
      <c r="A30" t="s">
        <v>26</v>
      </c>
      <c r="B30" t="str">
        <f t="shared" si="0"/>
        <v>HIDE</v>
      </c>
      <c r="C30" t="s">
        <v>25</v>
      </c>
      <c r="D30" t="str">
        <f>"""Mission ERP"",""GBRA"",""15"",""1"",""41128"""</f>
        <v>"Mission ERP","GBRA","15","1","41128"</v>
      </c>
      <c r="E30" t="str">
        <f>"41128"</f>
        <v>41128</v>
      </c>
      <c r="F30" t="str">
        <f>"RW-PLANT ADD TO PLANT &amp; EQUIP"</f>
        <v>RW-PLANT ADD TO PLANT &amp; EQUIP</v>
      </c>
      <c r="I30" s="8">
        <v>0</v>
      </c>
      <c r="J30" s="8"/>
      <c r="K30" s="8">
        <v>0</v>
      </c>
      <c r="L30" s="8"/>
      <c r="M30" s="8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 s="17"/>
    </row>
    <row r="31" spans="1:19" hidden="1">
      <c r="A31" t="s">
        <v>26</v>
      </c>
      <c r="B31" t="str">
        <f t="shared" si="0"/>
        <v>HIDE</v>
      </c>
      <c r="C31" t="s">
        <v>25</v>
      </c>
      <c r="D31" t="str">
        <f>"""Mission ERP"",""GBRA"",""15"",""1"",""41130"""</f>
        <v>"Mission ERP","GBRA","15","1","41130"</v>
      </c>
      <c r="E31" t="str">
        <f>"41130"</f>
        <v>41130</v>
      </c>
      <c r="F31" t="str">
        <f>"PLANT ADD TO PLANT &amp; EQUIP-LOCKHART"</f>
        <v>PLANT ADD TO PLANT &amp; EQUIP-LOCKHART</v>
      </c>
      <c r="I31" s="8">
        <v>0</v>
      </c>
      <c r="J31" s="8"/>
      <c r="K31" s="8">
        <v>0</v>
      </c>
      <c r="L31" s="8"/>
      <c r="M31" s="8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 s="17"/>
    </row>
    <row r="32" spans="1:19" hidden="1">
      <c r="A32" t="s">
        <v>26</v>
      </c>
      <c r="B32" t="str">
        <f t="shared" si="0"/>
        <v>HIDE</v>
      </c>
      <c r="C32" t="s">
        <v>25</v>
      </c>
      <c r="D32" t="str">
        <f>"""Mission ERP"",""GBRA"",""15"",""1"",""41134"""</f>
        <v>"Mission ERP","GBRA","15","1","41134"</v>
      </c>
      <c r="E32" t="str">
        <f>"41134"</f>
        <v>41134</v>
      </c>
      <c r="F32" t="str">
        <f>"LU/LO CAPITAL RECOVERY"</f>
        <v>LU/LO CAPITAL RECOVERY</v>
      </c>
      <c r="I32" s="8">
        <v>0</v>
      </c>
      <c r="J32" s="8"/>
      <c r="K32" s="8">
        <v>0</v>
      </c>
      <c r="L32" s="8"/>
      <c r="M32" s="8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 s="17"/>
    </row>
    <row r="33" spans="1:19">
      <c r="A33" t="s">
        <v>26</v>
      </c>
      <c r="B33" t="str">
        <f t="shared" si="0"/>
        <v>SHOW</v>
      </c>
      <c r="C33" t="s">
        <v>25</v>
      </c>
      <c r="D33" t="str">
        <f>"""Mission ERP"",""GBRA"",""15"",""1"",""41135"""</f>
        <v>"Mission ERP","GBRA","15","1","41135"</v>
      </c>
      <c r="E33" t="str">
        <f>"41135"</f>
        <v>41135</v>
      </c>
      <c r="F33" t="str">
        <f>"LULING WTP-CITY OF LOCKHART CHARGE"</f>
        <v>LULING WTP-CITY OF LOCKHART CHARGE</v>
      </c>
      <c r="I33" s="8">
        <v>375709</v>
      </c>
      <c r="J33" s="8"/>
      <c r="K33" s="8">
        <v>693395</v>
      </c>
      <c r="L33" s="8"/>
      <c r="M33" s="8">
        <f t="shared" si="1"/>
        <v>317686</v>
      </c>
      <c r="P33">
        <f t="shared" si="2"/>
        <v>1</v>
      </c>
      <c r="Q33">
        <f t="shared" si="3"/>
        <v>1</v>
      </c>
      <c r="R33">
        <f t="shared" si="4"/>
        <v>2</v>
      </c>
      <c r="S33" s="17"/>
    </row>
    <row r="34" spans="1:19" hidden="1">
      <c r="A34" t="s">
        <v>26</v>
      </c>
      <c r="B34" t="str">
        <f t="shared" si="0"/>
        <v>HIDE</v>
      </c>
      <c r="C34" t="s">
        <v>25</v>
      </c>
      <c r="D34" t="str">
        <f>"""Mission ERP"",""GBRA"",""15"",""1"",""41136"""</f>
        <v>"Mission ERP","GBRA","15","1","41136"</v>
      </c>
      <c r="E34" t="str">
        <f>"41136"</f>
        <v>41136</v>
      </c>
      <c r="F34" t="str">
        <f>"OLD-DO NOT USE, LU/LO DELIVERY SYSTEM"</f>
        <v>OLD-DO NOT USE, LU/LO DELIVERY SYSTEM</v>
      </c>
      <c r="I34" s="8">
        <v>0</v>
      </c>
      <c r="J34" s="8"/>
      <c r="K34" s="8">
        <v>0</v>
      </c>
      <c r="L34" s="8"/>
      <c r="M34" s="8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 s="17"/>
    </row>
    <row r="35" spans="1:19">
      <c r="A35" t="s">
        <v>26</v>
      </c>
      <c r="B35" t="str">
        <f t="shared" si="0"/>
        <v>SHOW</v>
      </c>
      <c r="C35" t="s">
        <v>25</v>
      </c>
      <c r="D35" t="str">
        <f>"""Mission ERP"",""GBRA"",""15"",""1"",""41137"""</f>
        <v>"Mission ERP","GBRA","15","1","41137"</v>
      </c>
      <c r="E35" t="str">
        <f>"41137"</f>
        <v>41137</v>
      </c>
      <c r="F35" t="str">
        <f>"LU/LO DELIVERY SYSTEM-CITY OF LOCKHART"</f>
        <v>LU/LO DELIVERY SYSTEM-CITY OF LOCKHART</v>
      </c>
      <c r="I35" s="8">
        <v>190007</v>
      </c>
      <c r="J35" s="8"/>
      <c r="K35" s="8">
        <v>207053</v>
      </c>
      <c r="L35" s="8"/>
      <c r="M35" s="8">
        <f t="shared" si="1"/>
        <v>17046</v>
      </c>
      <c r="P35">
        <f t="shared" si="2"/>
        <v>1</v>
      </c>
      <c r="Q35">
        <f t="shared" si="3"/>
        <v>1</v>
      </c>
      <c r="R35">
        <f t="shared" si="4"/>
        <v>2</v>
      </c>
      <c r="S35" s="17"/>
    </row>
    <row r="36" spans="1:19" hidden="1">
      <c r="B36" t="s">
        <v>16</v>
      </c>
      <c r="I36" s="9"/>
      <c r="J36" s="8"/>
      <c r="K36" s="9"/>
      <c r="L36" s="8"/>
      <c r="M36" s="9"/>
      <c r="S36" s="17"/>
    </row>
    <row r="37" spans="1:19">
      <c r="B37" t="str">
        <f>IF(R37=0,"HIDE","SHOW")</f>
        <v>SHOW</v>
      </c>
      <c r="F37" s="3" t="str">
        <f>CONCATENATE("Total ",F15)</f>
        <v>Total Water Treatment</v>
      </c>
      <c r="I37" s="10">
        <f>SUM(I16:I36)</f>
        <v>5920520</v>
      </c>
      <c r="J37" s="11"/>
      <c r="K37" s="10">
        <f>SUM(K16:K36)</f>
        <v>9463682</v>
      </c>
      <c r="L37" s="11"/>
      <c r="M37" s="10">
        <f>K37-I37</f>
        <v>3543162</v>
      </c>
      <c r="P37">
        <f>IF(I37=0,0,1)</f>
        <v>1</v>
      </c>
      <c r="Q37">
        <f>IF(K37=0,0,1)</f>
        <v>1</v>
      </c>
      <c r="R37">
        <f>P37+Q37</f>
        <v>2</v>
      </c>
      <c r="S37" s="17"/>
    </row>
    <row r="38" spans="1:19">
      <c r="B38" t="str">
        <f>B37</f>
        <v>SHOW</v>
      </c>
      <c r="I38" s="8"/>
      <c r="J38" s="8"/>
      <c r="K38" s="8"/>
      <c r="L38" s="8"/>
      <c r="M38" s="8"/>
    </row>
    <row r="39" spans="1:19">
      <c r="B39" t="str">
        <f>B48</f>
        <v>SHOW</v>
      </c>
      <c r="C39">
        <v>41200</v>
      </c>
      <c r="F39" s="3" t="str">
        <f>"Wastewater Treatment"</f>
        <v>Wastewater Treatment</v>
      </c>
      <c r="I39" s="8"/>
      <c r="J39" s="8"/>
      <c r="K39" s="8"/>
      <c r="L39" s="8"/>
      <c r="M39" s="8"/>
    </row>
    <row r="40" spans="1:19">
      <c r="B40" t="str">
        <f>IF(R40=0,"HIDE","SHOW")</f>
        <v>SHOW</v>
      </c>
      <c r="C40" t="s">
        <v>27</v>
      </c>
      <c r="D40" t="str">
        <f>"""Mission ERP"",""GBRA"",""15"",""1"",""41201"""</f>
        <v>"Mission ERP","GBRA","15","1","41201"</v>
      </c>
      <c r="E40" t="str">
        <f>"41201"</f>
        <v>41201</v>
      </c>
      <c r="F40" t="str">
        <f>"WW-OPR &amp; MAINTENANCE"</f>
        <v>WW-OPR &amp; MAINTENANCE</v>
      </c>
      <c r="I40" s="8">
        <v>3881194</v>
      </c>
      <c r="J40" s="8"/>
      <c r="K40" s="8">
        <v>4496513</v>
      </c>
      <c r="L40" s="8"/>
      <c r="M40" s="8">
        <f>K40-I40</f>
        <v>615319</v>
      </c>
      <c r="P40">
        <f>IF(I40=0,0,1)</f>
        <v>1</v>
      </c>
      <c r="Q40">
        <f>IF(K40=0,0,1)</f>
        <v>1</v>
      </c>
      <c r="R40">
        <f>P40+Q40</f>
        <v>2</v>
      </c>
    </row>
    <row r="41" spans="1:19">
      <c r="A41" t="s">
        <v>26</v>
      </c>
      <c r="B41" t="str">
        <f t="shared" ref="B41:B46" si="5">IF(R41=0,"HIDE","SHOW")</f>
        <v>SHOW</v>
      </c>
      <c r="C41" t="s">
        <v>27</v>
      </c>
      <c r="D41" t="str">
        <f>"""Mission ERP"",""GBRA"",""15"",""1"",""41202"""</f>
        <v>"Mission ERP","GBRA","15","1","41202"</v>
      </c>
      <c r="E41" t="str">
        <f>"41202"</f>
        <v>41202</v>
      </c>
      <c r="F41" t="str">
        <f>"WW-ADMINISTRATIVE &amp; GENERAL"</f>
        <v>WW-ADMINISTRATIVE &amp; GENERAL</v>
      </c>
      <c r="I41" s="8">
        <v>249308</v>
      </c>
      <c r="J41" s="8"/>
      <c r="K41" s="8">
        <v>283521</v>
      </c>
      <c r="L41" s="8"/>
      <c r="M41" s="8">
        <f t="shared" ref="M41:M46" si="6">K41-I41</f>
        <v>34213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9" hidden="1">
      <c r="A42" t="s">
        <v>26</v>
      </c>
      <c r="B42" t="str">
        <f t="shared" si="5"/>
        <v>HIDE</v>
      </c>
      <c r="C42" t="s">
        <v>27</v>
      </c>
      <c r="D42" t="str">
        <f>"""Mission ERP"",""GBRA"",""15"",""1"",""41203"""</f>
        <v>"Mission ERP","GBRA","15","1","41203"</v>
      </c>
      <c r="E42" t="str">
        <f>"41203"</f>
        <v>41203</v>
      </c>
      <c r="F42" t="str">
        <f>"WW-EQUIPMENT"</f>
        <v>WW-EQUIPMENT</v>
      </c>
      <c r="I42" s="8">
        <v>0</v>
      </c>
      <c r="J42" s="8"/>
      <c r="K42" s="8">
        <v>0</v>
      </c>
      <c r="L42" s="8"/>
      <c r="M42" s="8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9" hidden="1">
      <c r="A43" t="s">
        <v>26</v>
      </c>
      <c r="B43" t="str">
        <f t="shared" si="5"/>
        <v>HIDE</v>
      </c>
      <c r="C43" t="s">
        <v>27</v>
      </c>
      <c r="D43" t="str">
        <f>"""Mission ERP"",""GBRA"",""15"",""1"",""41204"""</f>
        <v>"Mission ERP","GBRA","15","1","41204"</v>
      </c>
      <c r="E43" t="str">
        <f>"41204"</f>
        <v>41204</v>
      </c>
      <c r="F43" t="str">
        <f>"WW-DEBT"</f>
        <v>WW-DEBT</v>
      </c>
      <c r="I43" s="8">
        <v>0</v>
      </c>
      <c r="J43" s="8"/>
      <c r="K43" s="8">
        <v>0</v>
      </c>
      <c r="L43" s="8"/>
      <c r="M43" s="8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9" hidden="1">
      <c r="A44" t="s">
        <v>26</v>
      </c>
      <c r="B44" t="str">
        <f t="shared" si="5"/>
        <v>HIDE</v>
      </c>
      <c r="C44" t="s">
        <v>27</v>
      </c>
      <c r="D44" t="str">
        <f>"""Mission ERP"",""GBRA"",""15"",""1"",""41205"""</f>
        <v>"Mission ERP","GBRA","15","1","41205"</v>
      </c>
      <c r="E44" t="str">
        <f>"41205"</f>
        <v>41205</v>
      </c>
      <c r="F44" t="str">
        <f>"WW-CONNECTION FEES"</f>
        <v>WW-CONNECTION FEES</v>
      </c>
      <c r="I44" s="8">
        <v>0</v>
      </c>
      <c r="J44" s="8"/>
      <c r="K44" s="8">
        <v>0</v>
      </c>
      <c r="L44" s="8"/>
      <c r="M44" s="8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9">
      <c r="A45" t="s">
        <v>26</v>
      </c>
      <c r="B45" t="str">
        <f t="shared" si="5"/>
        <v>SHOW</v>
      </c>
      <c r="C45" t="s">
        <v>27</v>
      </c>
      <c r="D45" t="str">
        <f>"""Mission ERP"",""GBRA"",""15"",""1"",""41207"""</f>
        <v>"Mission ERP","GBRA","15","1","41207"</v>
      </c>
      <c r="E45" t="str">
        <f>"41207"</f>
        <v>41207</v>
      </c>
      <c r="F45" t="str">
        <f>"WW-CREDIT TO CUSTOMER"</f>
        <v>WW-CREDIT TO CUSTOMER</v>
      </c>
      <c r="I45" s="8">
        <v>-601800</v>
      </c>
      <c r="J45" s="8"/>
      <c r="K45" s="8">
        <v>-601800</v>
      </c>
      <c r="L45" s="8"/>
      <c r="M45" s="8">
        <f t="shared" si="6"/>
        <v>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9" hidden="1">
      <c r="A46" t="s">
        <v>26</v>
      </c>
      <c r="B46" t="str">
        <f t="shared" si="5"/>
        <v>HIDE</v>
      </c>
      <c r="C46" t="s">
        <v>27</v>
      </c>
      <c r="D46" t="str">
        <f>"""Mission ERP"",""GBRA"",""15"",""1"",""41208"""</f>
        <v>"Mission ERP","GBRA","15","1","41208"</v>
      </c>
      <c r="E46" t="str">
        <f>"41208"</f>
        <v>41208</v>
      </c>
      <c r="F46" t="str">
        <f>"WW-CREDIT INT EARNINGS"</f>
        <v>WW-CREDIT INT EARNINGS</v>
      </c>
      <c r="I46" s="8">
        <v>0</v>
      </c>
      <c r="J46" s="8"/>
      <c r="K46" s="8">
        <v>0</v>
      </c>
      <c r="L46" s="8"/>
      <c r="M46" s="8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9" hidden="1">
      <c r="B47" t="s">
        <v>16</v>
      </c>
      <c r="I47" s="9"/>
      <c r="J47" s="8"/>
      <c r="K47" s="9"/>
      <c r="L47" s="8"/>
      <c r="M47" s="9"/>
    </row>
    <row r="48" spans="1:19">
      <c r="B48" t="str">
        <f>IF(R48=0,"HIDE","SHOW")</f>
        <v>SHOW</v>
      </c>
      <c r="F48" s="3" t="str">
        <f>CONCATENATE("Total ",F39)</f>
        <v>Total Wastewater Treatment</v>
      </c>
      <c r="I48" s="10">
        <f>SUM(I40:I47)</f>
        <v>3528702</v>
      </c>
      <c r="J48" s="11"/>
      <c r="K48" s="10">
        <f>SUM(K40:K47)</f>
        <v>4178234</v>
      </c>
      <c r="L48" s="11"/>
      <c r="M48" s="10">
        <f>K48-I48</f>
        <v>649532</v>
      </c>
      <c r="P48">
        <f>IF(I48=0,0,1)</f>
        <v>1</v>
      </c>
      <c r="Q48">
        <f>IF(K48=0,0,1)</f>
        <v>1</v>
      </c>
      <c r="R48">
        <f>P48+Q48</f>
        <v>2</v>
      </c>
    </row>
    <row r="49" spans="1:18">
      <c r="B49" t="str">
        <f>B48</f>
        <v>SHOW</v>
      </c>
      <c r="I49" s="8"/>
      <c r="J49" s="8"/>
      <c r="K49" s="8"/>
      <c r="L49" s="8"/>
      <c r="M49" s="8"/>
    </row>
    <row r="50" spans="1:18">
      <c r="B50" t="str">
        <f>B59</f>
        <v>SHOW</v>
      </c>
      <c r="C50">
        <v>41300</v>
      </c>
      <c r="F50" s="3" t="str">
        <f>"Hydroelectric"</f>
        <v>Hydroelectric</v>
      </c>
      <c r="I50" s="8"/>
      <c r="J50" s="8"/>
      <c r="K50" s="8"/>
      <c r="L50" s="8"/>
      <c r="M50" s="8"/>
    </row>
    <row r="51" spans="1:18">
      <c r="B51" t="str">
        <f>IF(R51=0,"HIDE","SHOW")</f>
        <v>SHOW</v>
      </c>
      <c r="C51" t="s">
        <v>28</v>
      </c>
      <c r="D51" t="str">
        <f>"""Mission ERP"",""GBRA"",""15"",""1"",""41301"""</f>
        <v>"Mission ERP","GBRA","15","1","41301"</v>
      </c>
      <c r="E51" t="str">
        <f>"41301"</f>
        <v>41301</v>
      </c>
      <c r="F51" t="str">
        <f>"POWER SALES"</f>
        <v>POWER SALES</v>
      </c>
      <c r="I51" s="8">
        <v>302424</v>
      </c>
      <c r="J51" s="8"/>
      <c r="K51" s="8">
        <v>334352</v>
      </c>
      <c r="L51" s="8"/>
      <c r="M51" s="8">
        <f>K51-I51</f>
        <v>31928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>
      <c r="A52" t="s">
        <v>26</v>
      </c>
      <c r="B52" t="str">
        <f t="shared" ref="B52:B57" si="10">IF(R52=0,"HIDE","SHOW")</f>
        <v>HIDE</v>
      </c>
      <c r="C52" t="s">
        <v>28</v>
      </c>
      <c r="D52" t="str">
        <f>"""Mission ERP"",""GBRA"",""15"",""1"",""41302"""</f>
        <v>"Mission ERP","GBRA","15","1","41302"</v>
      </c>
      <c r="E52" t="str">
        <f>"41302"</f>
        <v>41302</v>
      </c>
      <c r="F52" t="str">
        <f>"OLD-DO NOT USE, CREDIT: OPR INT EARNINGS"</f>
        <v>OLD-DO NOT USE, CREDIT: OPR INT EARNINGS</v>
      </c>
      <c r="I52" s="8">
        <v>0</v>
      </c>
      <c r="J52" s="8"/>
      <c r="K52" s="8">
        <v>0</v>
      </c>
      <c r="L52" s="8"/>
      <c r="M52" s="8">
        <f t="shared" ref="M52:M57" si="11">K52-I52</f>
        <v>0</v>
      </c>
      <c r="P52">
        <f t="shared" ref="P52:P57" si="12">IF(I52=0,0,1)</f>
        <v>0</v>
      </c>
      <c r="Q52">
        <f t="shared" ref="Q52:Q57" si="13">IF(K52=0,0,1)</f>
        <v>0</v>
      </c>
      <c r="R52">
        <f t="shared" ref="R52:R57" si="14">P52+Q52</f>
        <v>0</v>
      </c>
    </row>
    <row r="53" spans="1:18" hidden="1">
      <c r="A53" t="s">
        <v>26</v>
      </c>
      <c r="B53" t="str">
        <f t="shared" si="10"/>
        <v>HIDE</v>
      </c>
      <c r="C53" t="s">
        <v>28</v>
      </c>
      <c r="D53" t="str">
        <f>"""Mission ERP"",""GBRA"",""15"",""1"",""41303"""</f>
        <v>"Mission ERP","GBRA","15","1","41303"</v>
      </c>
      <c r="E53" t="str">
        <f>"41303"</f>
        <v>41303</v>
      </c>
      <c r="F53" t="str">
        <f>"OLD-DO NOT USE, CREDIT: R&amp;R INT EARNINGS"</f>
        <v>OLD-DO NOT USE, CREDIT: R&amp;R INT EARNINGS</v>
      </c>
      <c r="I53" s="8">
        <v>0</v>
      </c>
      <c r="J53" s="8"/>
      <c r="K53" s="8">
        <v>0</v>
      </c>
      <c r="L53" s="8"/>
      <c r="M53" s="8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>
      <c r="A54" t="s">
        <v>26</v>
      </c>
      <c r="B54" t="str">
        <f t="shared" si="10"/>
        <v>HIDE</v>
      </c>
      <c r="C54" t="s">
        <v>28</v>
      </c>
      <c r="D54" t="str">
        <f>"""Mission ERP"",""GBRA"",""15"",""1"",""41304"""</f>
        <v>"Mission ERP","GBRA","15","1","41304"</v>
      </c>
      <c r="E54" t="str">
        <f>"41304"</f>
        <v>41304</v>
      </c>
      <c r="F54" t="str">
        <f>"CREDIT: RENEWABLE ENERGY"</f>
        <v>CREDIT: RENEWABLE ENERGY</v>
      </c>
      <c r="I54" s="8">
        <v>0</v>
      </c>
      <c r="J54" s="8"/>
      <c r="K54" s="8">
        <v>0</v>
      </c>
      <c r="L54" s="8"/>
      <c r="M54" s="8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>
      <c r="A55" t="s">
        <v>26</v>
      </c>
      <c r="B55" t="str">
        <f t="shared" si="10"/>
        <v>HIDE</v>
      </c>
      <c r="C55" t="s">
        <v>28</v>
      </c>
      <c r="D55" t="str">
        <f>"""Mission ERP"",""GBRA"",""15"",""1"",""41320"""</f>
        <v>"Mission ERP","GBRA","15","1","41320"</v>
      </c>
      <c r="E55" t="str">
        <f>"41320"</f>
        <v>41320</v>
      </c>
      <c r="F55" t="str">
        <f>"DEBT-DUNLAP DAM"</f>
        <v>DEBT-DUNLAP DAM</v>
      </c>
      <c r="I55" s="8">
        <v>0</v>
      </c>
      <c r="J55" s="8"/>
      <c r="K55" s="8">
        <v>0</v>
      </c>
      <c r="L55" s="8"/>
      <c r="M55" s="8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>
      <c r="A56" t="s">
        <v>26</v>
      </c>
      <c r="B56" t="str">
        <f t="shared" si="10"/>
        <v>HIDE</v>
      </c>
      <c r="C56" t="s">
        <v>28</v>
      </c>
      <c r="D56" t="str">
        <f>"""Mission ERP"",""GBRA"",""15"",""1"",""41321"""</f>
        <v>"Mission ERP","GBRA","15","1","41321"</v>
      </c>
      <c r="E56" t="str">
        <f>"41321"</f>
        <v>41321</v>
      </c>
      <c r="F56" t="str">
        <f>"DEBT-McQUEENEY DAM"</f>
        <v>DEBT-McQUEENEY DAM</v>
      </c>
      <c r="I56" s="8">
        <v>0</v>
      </c>
      <c r="J56" s="8"/>
      <c r="K56" s="8">
        <v>0</v>
      </c>
      <c r="L56" s="8"/>
      <c r="M56" s="8">
        <f t="shared" si="11"/>
        <v>0</v>
      </c>
      <c r="P56">
        <f t="shared" si="12"/>
        <v>0</v>
      </c>
      <c r="Q56">
        <f t="shared" si="13"/>
        <v>0</v>
      </c>
      <c r="R56">
        <f t="shared" si="14"/>
        <v>0</v>
      </c>
    </row>
    <row r="57" spans="1:18" hidden="1">
      <c r="A57" t="s">
        <v>26</v>
      </c>
      <c r="B57" t="str">
        <f t="shared" si="10"/>
        <v>HIDE</v>
      </c>
      <c r="C57" t="s">
        <v>28</v>
      </c>
      <c r="D57" t="str">
        <f>"""Mission ERP"",""GBRA"",""15"",""1"",""41322"""</f>
        <v>"Mission ERP","GBRA","15","1","41322"</v>
      </c>
      <c r="E57" t="str">
        <f>"41322"</f>
        <v>41322</v>
      </c>
      <c r="F57" t="str">
        <f>"DEBT-PLACID DAM"</f>
        <v>DEBT-PLACID DAM</v>
      </c>
      <c r="I57" s="8">
        <v>0</v>
      </c>
      <c r="J57" s="8"/>
      <c r="K57" s="8">
        <v>0</v>
      </c>
      <c r="L57" s="8"/>
      <c r="M57" s="8">
        <f t="shared" si="11"/>
        <v>0</v>
      </c>
      <c r="P57">
        <f t="shared" si="12"/>
        <v>0</v>
      </c>
      <c r="Q57">
        <f t="shared" si="13"/>
        <v>0</v>
      </c>
      <c r="R57">
        <f t="shared" si="14"/>
        <v>0</v>
      </c>
    </row>
    <row r="58" spans="1:18" hidden="1">
      <c r="B58" t="s">
        <v>16</v>
      </c>
      <c r="I58" s="9"/>
      <c r="J58" s="8"/>
      <c r="K58" s="9"/>
      <c r="L58" s="8"/>
      <c r="M58" s="9"/>
    </row>
    <row r="59" spans="1:18">
      <c r="B59" t="str">
        <f>IF(R59=0,"HIDE","SHOW")</f>
        <v>SHOW</v>
      </c>
      <c r="F59" s="3" t="str">
        <f>CONCATENATE("Total ",F50)</f>
        <v>Total Hydroelectric</v>
      </c>
      <c r="I59" s="10">
        <f>SUM(I51:I58)</f>
        <v>302424</v>
      </c>
      <c r="J59" s="11"/>
      <c r="K59" s="10">
        <f>SUM(K51:K58)</f>
        <v>334352</v>
      </c>
      <c r="L59" s="11"/>
      <c r="M59" s="10">
        <f>K59-I59</f>
        <v>31928</v>
      </c>
      <c r="P59">
        <f>IF(I59=0,0,1)</f>
        <v>1</v>
      </c>
      <c r="Q59">
        <f>IF(K59=0,0,1)</f>
        <v>1</v>
      </c>
      <c r="R59">
        <f>P59+Q59</f>
        <v>2</v>
      </c>
    </row>
    <row r="60" spans="1:18">
      <c r="B60" t="str">
        <f>B48</f>
        <v>SHOW</v>
      </c>
      <c r="F60" s="3"/>
      <c r="I60" s="12"/>
      <c r="J60" s="11"/>
      <c r="K60" s="12"/>
      <c r="L60" s="11"/>
      <c r="M60" s="12"/>
    </row>
    <row r="61" spans="1:18">
      <c r="B61" t="str">
        <f>B65</f>
        <v>SHOW</v>
      </c>
      <c r="C61">
        <v>41400</v>
      </c>
      <c r="F61" s="3" t="str">
        <f>"Industrial"</f>
        <v>Industrial</v>
      </c>
      <c r="I61" s="8"/>
      <c r="J61" s="8"/>
      <c r="K61" s="8"/>
      <c r="L61" s="8"/>
      <c r="M61" s="8"/>
    </row>
    <row r="62" spans="1:18">
      <c r="B62" t="str">
        <f>IF(R62=0,"HIDE","SHOW")</f>
        <v>SHOW</v>
      </c>
      <c r="C62" t="s">
        <v>29</v>
      </c>
      <c r="D62" t="str">
        <f>"""Mission ERP"",""GBRA"",""15"",""1"",""41401"""</f>
        <v>"Mission ERP","GBRA","15","1","41401"</v>
      </c>
      <c r="E62" t="str">
        <f>"41401"</f>
        <v>41401</v>
      </c>
      <c r="F62" t="str">
        <f>"COLETO CREEK POWER-O&amp;M EXP"</f>
        <v>COLETO CREEK POWER-O&amp;M EXP</v>
      </c>
      <c r="I62" s="8">
        <v>905216</v>
      </c>
      <c r="J62" s="8"/>
      <c r="K62" s="8">
        <v>987743</v>
      </c>
      <c r="L62" s="8"/>
      <c r="M62" s="8">
        <f>K62-I62</f>
        <v>82527</v>
      </c>
      <c r="P62">
        <f>IF(I62=0,0,1)</f>
        <v>1</v>
      </c>
      <c r="Q62">
        <f>IF(K62=0,0,1)</f>
        <v>1</v>
      </c>
      <c r="R62">
        <f>P62+Q62</f>
        <v>2</v>
      </c>
    </row>
    <row r="63" spans="1:18">
      <c r="A63" t="s">
        <v>26</v>
      </c>
      <c r="B63" t="str">
        <f>IF(R63=0,"HIDE","SHOW")</f>
        <v>SHOW</v>
      </c>
      <c r="C63" t="s">
        <v>29</v>
      </c>
      <c r="D63" t="str">
        <f>"""Mission ERP"",""GBRA"",""15"",""1"",""41402"""</f>
        <v>"Mission ERP","GBRA","15","1","41402"</v>
      </c>
      <c r="E63" t="str">
        <f>"41402"</f>
        <v>41402</v>
      </c>
      <c r="F63" t="str">
        <f>"COLETO CREEK POWER-A&amp;G EXP"</f>
        <v>COLETO CREEK POWER-A&amp;G EXP</v>
      </c>
      <c r="I63" s="8">
        <v>77117</v>
      </c>
      <c r="J63" s="8"/>
      <c r="K63" s="8">
        <v>77922</v>
      </c>
      <c r="L63" s="8"/>
      <c r="M63" s="8">
        <f>K63-I63</f>
        <v>805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>
      <c r="B64" t="s">
        <v>16</v>
      </c>
      <c r="I64" s="9"/>
      <c r="J64" s="8"/>
      <c r="K64" s="9"/>
      <c r="L64" s="8"/>
      <c r="M64" s="9"/>
    </row>
    <row r="65" spans="1:18">
      <c r="B65" t="str">
        <f>IF(R65=0,"HIDE","SHOW")</f>
        <v>SHOW</v>
      </c>
      <c r="F65" s="3" t="str">
        <f>CONCATENATE("Total ",F61)</f>
        <v>Total Industrial</v>
      </c>
      <c r="I65" s="10">
        <f>SUM(I62:I64)</f>
        <v>982333</v>
      </c>
      <c r="J65" s="11"/>
      <c r="K65" s="10">
        <f>SUM(K62:K64)</f>
        <v>1065665</v>
      </c>
      <c r="L65" s="11"/>
      <c r="M65" s="10">
        <f>K65-I65</f>
        <v>83332</v>
      </c>
      <c r="P65">
        <f>IF(I65=0,0,1)</f>
        <v>1</v>
      </c>
      <c r="Q65">
        <f>IF(K65=0,0,1)</f>
        <v>1</v>
      </c>
      <c r="R65">
        <f>P65+Q65</f>
        <v>2</v>
      </c>
    </row>
    <row r="66" spans="1:18">
      <c r="B66" t="str">
        <f>B48</f>
        <v>SHOW</v>
      </c>
      <c r="I66" s="8"/>
      <c r="J66" s="8"/>
      <c r="K66" s="8"/>
      <c r="L66" s="8"/>
      <c r="M66" s="8"/>
    </row>
    <row r="67" spans="1:18">
      <c r="B67" t="str">
        <f>B136</f>
        <v>SHOW</v>
      </c>
      <c r="C67">
        <v>42100</v>
      </c>
      <c r="F67" s="3" t="str">
        <f>"Wholesale Raw Water Sales"</f>
        <v>Wholesale Raw Water Sales</v>
      </c>
      <c r="I67" s="8"/>
      <c r="J67" s="8"/>
      <c r="K67" s="8"/>
      <c r="L67" s="8"/>
      <c r="M67" s="8"/>
    </row>
    <row r="68" spans="1:18" hidden="1">
      <c r="B68" t="str">
        <f>IF(R68=0,"HIDE","SHOW")</f>
        <v>HIDE</v>
      </c>
      <c r="C68" t="s">
        <v>30</v>
      </c>
      <c r="D68" t="str">
        <f>"""Mission ERP"",""GBRA"",""15"",""1"",""42101"""</f>
        <v>"Mission ERP","GBRA","15","1","42101"</v>
      </c>
      <c r="E68" t="str">
        <f>"42101"</f>
        <v>42101</v>
      </c>
      <c r="F68" t="str">
        <f>"CANYON-COLETO CREEK POWER"</f>
        <v>CANYON-COLETO CREEK POWER</v>
      </c>
      <c r="I68" s="8">
        <v>0</v>
      </c>
      <c r="J68" s="8"/>
      <c r="K68" s="8">
        <v>0</v>
      </c>
      <c r="L68" s="8"/>
      <c r="M68" s="8">
        <f>K68-I68</f>
        <v>0</v>
      </c>
      <c r="P68">
        <f>IF(I68=0,0,1)</f>
        <v>0</v>
      </c>
      <c r="Q68">
        <f>IF(K68=0,0,1)</f>
        <v>0</v>
      </c>
      <c r="R68">
        <f>P68+Q68</f>
        <v>0</v>
      </c>
    </row>
    <row r="69" spans="1:18">
      <c r="A69" t="s">
        <v>26</v>
      </c>
      <c r="B69" t="str">
        <f t="shared" ref="B69:B132" si="15">IF(R69=0,"HIDE","SHOW")</f>
        <v>SHOW</v>
      </c>
      <c r="C69" t="s">
        <v>30</v>
      </c>
      <c r="D69" t="str">
        <f>"""Mission ERP"",""GBRA"",""15"",""1"",""42102"""</f>
        <v>"Mission ERP","GBRA","15","1","42102"</v>
      </c>
      <c r="E69" t="str">
        <f>"42102"</f>
        <v>42102</v>
      </c>
      <c r="F69" t="str">
        <f>"CANYON-INEOS"</f>
        <v>CANYON-INEOS</v>
      </c>
      <c r="I69" s="8">
        <v>662400</v>
      </c>
      <c r="J69" s="8"/>
      <c r="K69" s="8">
        <v>694800</v>
      </c>
      <c r="L69" s="8"/>
      <c r="M69" s="8">
        <f t="shared" ref="M69:M132" si="16">K69-I69</f>
        <v>32400</v>
      </c>
      <c r="P69">
        <f t="shared" ref="P69:P132" si="17">IF(I69=0,0,1)</f>
        <v>1</v>
      </c>
      <c r="Q69">
        <f t="shared" ref="Q69:Q132" si="18">IF(K69=0,0,1)</f>
        <v>1</v>
      </c>
      <c r="R69">
        <f t="shared" ref="R69:R132" si="19">P69+Q69</f>
        <v>2</v>
      </c>
    </row>
    <row r="70" spans="1:18">
      <c r="A70" t="s">
        <v>26</v>
      </c>
      <c r="B70" t="str">
        <f t="shared" si="15"/>
        <v>SHOW</v>
      </c>
      <c r="C70" t="s">
        <v>30</v>
      </c>
      <c r="D70" t="str">
        <f>"""Mission ERP"",""GBRA"",""15"",""1"",""42103"""</f>
        <v>"Mission ERP","GBRA","15","1","42103"</v>
      </c>
      <c r="E70" t="str">
        <f>"42103"</f>
        <v>42103</v>
      </c>
      <c r="F70" t="str">
        <f>"CANYON-PORT LAVACA WTP"</f>
        <v>CANYON-PORT LAVACA WTP</v>
      </c>
      <c r="I70" s="8">
        <v>741888</v>
      </c>
      <c r="J70" s="8"/>
      <c r="K70" s="8">
        <v>864640</v>
      </c>
      <c r="L70" s="8"/>
      <c r="M70" s="8">
        <f t="shared" si="16"/>
        <v>122752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>
      <c r="A71" t="s">
        <v>26</v>
      </c>
      <c r="B71" t="str">
        <f t="shared" si="15"/>
        <v>SHOW</v>
      </c>
      <c r="C71" t="s">
        <v>30</v>
      </c>
      <c r="D71" t="str">
        <f>"""Mission ERP"",""GBRA"",""15"",""1"",""42104"""</f>
        <v>"Mission ERP","GBRA","15","1","42104"</v>
      </c>
      <c r="E71" t="str">
        <f>"42104"</f>
        <v>42104</v>
      </c>
      <c r="F71" t="str">
        <f>"CANYON-RW, UNDINE"</f>
        <v>CANYON-RW, UNDINE</v>
      </c>
      <c r="I71" s="8">
        <v>238464</v>
      </c>
      <c r="J71" s="8"/>
      <c r="K71" s="8">
        <v>289500</v>
      </c>
      <c r="L71" s="8"/>
      <c r="M71" s="8">
        <f t="shared" si="16"/>
        <v>51036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>
      <c r="A72" t="s">
        <v>26</v>
      </c>
      <c r="B72" t="str">
        <f t="shared" si="15"/>
        <v>SHOW</v>
      </c>
      <c r="C72" t="s">
        <v>30</v>
      </c>
      <c r="D72" t="str">
        <f>"""Mission ERP"",""GBRA"",""15"",""1"",""42105"""</f>
        <v>"Mission ERP","GBRA","15","1","42105"</v>
      </c>
      <c r="E72" t="str">
        <f>"42105"</f>
        <v>42105</v>
      </c>
      <c r="F72" t="str">
        <f>"CANYON-CITY OF SEGUIN"</f>
        <v>CANYON-CITY OF SEGUIN</v>
      </c>
      <c r="I72" s="8">
        <v>184000</v>
      </c>
      <c r="J72" s="8"/>
      <c r="K72" s="8">
        <v>193000</v>
      </c>
      <c r="L72" s="8"/>
      <c r="M72" s="8">
        <f t="shared" si="16"/>
        <v>9000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hidden="1">
      <c r="A73" t="s">
        <v>26</v>
      </c>
      <c r="B73" t="str">
        <f t="shared" si="15"/>
        <v>HIDE</v>
      </c>
      <c r="C73" t="s">
        <v>30</v>
      </c>
      <c r="D73" t="str">
        <f>"""Mission ERP"",""GBRA"",""15"",""1"",""42106"""</f>
        <v>"Mission ERP","GBRA","15","1","42106"</v>
      </c>
      <c r="E73" t="str">
        <f>"42106"</f>
        <v>42106</v>
      </c>
      <c r="F73" t="str">
        <f>"CANYON-GONZALES COUNTY WSC"</f>
        <v>CANYON-GONZALES COUNTY WSC</v>
      </c>
      <c r="I73" s="8">
        <v>0</v>
      </c>
      <c r="J73" s="8"/>
      <c r="K73" s="8">
        <v>0</v>
      </c>
      <c r="L73" s="8"/>
      <c r="M73" s="8">
        <f t="shared" si="16"/>
        <v>0</v>
      </c>
      <c r="P73">
        <f t="shared" si="17"/>
        <v>0</v>
      </c>
      <c r="Q73">
        <f t="shared" si="18"/>
        <v>0</v>
      </c>
      <c r="R73">
        <f t="shared" si="19"/>
        <v>0</v>
      </c>
    </row>
    <row r="74" spans="1:18">
      <c r="A74" t="s">
        <v>26</v>
      </c>
      <c r="B74" t="str">
        <f t="shared" si="15"/>
        <v>SHOW</v>
      </c>
      <c r="C74" t="s">
        <v>30</v>
      </c>
      <c r="D74" t="str">
        <f>"""Mission ERP"",""GBRA"",""15"",""1"",""42107"""</f>
        <v>"Mission ERP","GBRA","15","1","42107"</v>
      </c>
      <c r="E74" t="str">
        <f>"42107"</f>
        <v>42107</v>
      </c>
      <c r="F74" t="str">
        <f>"CANYON-SPRINGS HILL WSC"</f>
        <v>CANYON-SPRINGS HILL WSC</v>
      </c>
      <c r="I74" s="8">
        <v>588800</v>
      </c>
      <c r="J74" s="8"/>
      <c r="K74" s="8">
        <v>617600</v>
      </c>
      <c r="L74" s="8"/>
      <c r="M74" s="8">
        <f t="shared" si="16"/>
        <v>28800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>
      <c r="A75" t="s">
        <v>26</v>
      </c>
      <c r="B75" t="str">
        <f t="shared" si="15"/>
        <v>SHOW</v>
      </c>
      <c r="C75" t="s">
        <v>30</v>
      </c>
      <c r="D75" t="str">
        <f>"""Mission ERP"",""GBRA"",""15"",""1"",""42108"""</f>
        <v>"Mission ERP","GBRA","15","1","42108"</v>
      </c>
      <c r="E75" t="str">
        <f>"42108"</f>
        <v>42108</v>
      </c>
      <c r="F75" t="str">
        <f>"CANYON-REBECCA CREEK MUD"</f>
        <v>CANYON-REBECCA CREEK MUD</v>
      </c>
      <c r="I75" s="8">
        <v>23920</v>
      </c>
      <c r="J75" s="8"/>
      <c r="K75" s="8">
        <v>25090</v>
      </c>
      <c r="L75" s="8"/>
      <c r="M75" s="8">
        <f t="shared" si="16"/>
        <v>1170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>
      <c r="A76" t="s">
        <v>26</v>
      </c>
      <c r="B76" t="str">
        <f t="shared" si="15"/>
        <v>SHOW</v>
      </c>
      <c r="C76" t="s">
        <v>30</v>
      </c>
      <c r="D76" t="str">
        <f>"""Mission ERP"",""GBRA"",""15"",""1"",""42109"""</f>
        <v>"Mission ERP","GBRA","15","1","42109"</v>
      </c>
      <c r="E76" t="str">
        <f>"42109"</f>
        <v>42109</v>
      </c>
      <c r="F76" t="str">
        <f>"CANYON-CRWA-HAYS CO, SAN MARCOS"</f>
        <v>CANYON-CRWA-HAYS CO, SAN MARCOS</v>
      </c>
      <c r="I76" s="8">
        <v>374992</v>
      </c>
      <c r="J76" s="8"/>
      <c r="K76" s="8">
        <v>393334</v>
      </c>
      <c r="L76" s="8"/>
      <c r="M76" s="8">
        <f t="shared" si="16"/>
        <v>18342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>
      <c r="A77" t="s">
        <v>26</v>
      </c>
      <c r="B77" t="str">
        <f t="shared" si="15"/>
        <v>SHOW</v>
      </c>
      <c r="C77" t="s">
        <v>30</v>
      </c>
      <c r="D77" t="str">
        <f>"""Mission ERP"",""GBRA"",""15"",""1"",""42110"""</f>
        <v>"Mission ERP","GBRA","15","1","42110"</v>
      </c>
      <c r="E77" t="str">
        <f>"42110"</f>
        <v>42110</v>
      </c>
      <c r="F77" t="str">
        <f>"CANYON-SEADRIFT COKE"</f>
        <v>CANYON-SEADRIFT COKE</v>
      </c>
      <c r="I77" s="8">
        <v>184000</v>
      </c>
      <c r="J77" s="8"/>
      <c r="K77" s="8">
        <v>193000</v>
      </c>
      <c r="L77" s="8"/>
      <c r="M77" s="8">
        <f t="shared" si="16"/>
        <v>9000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>
      <c r="A78" t="s">
        <v>26</v>
      </c>
      <c r="B78" t="str">
        <f t="shared" si="15"/>
        <v>SHOW</v>
      </c>
      <c r="C78" t="s">
        <v>30</v>
      </c>
      <c r="D78" t="str">
        <f>"""Mission ERP"",""GBRA"",""15"",""1"",""42111"""</f>
        <v>"Mission ERP","GBRA","15","1","42111"</v>
      </c>
      <c r="E78" t="str">
        <f>"42111"</f>
        <v>42111</v>
      </c>
      <c r="F78" t="str">
        <f>"CANYON-UNION CARBIDE"</f>
        <v>CANYON-UNION CARBIDE</v>
      </c>
      <c r="I78" s="8">
        <v>18400</v>
      </c>
      <c r="J78" s="8"/>
      <c r="K78" s="8">
        <v>19300</v>
      </c>
      <c r="L78" s="8"/>
      <c r="M78" s="8">
        <f t="shared" si="16"/>
        <v>900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>
      <c r="A79" t="s">
        <v>26</v>
      </c>
      <c r="B79" t="str">
        <f t="shared" si="15"/>
        <v>SHOW</v>
      </c>
      <c r="C79" t="s">
        <v>30</v>
      </c>
      <c r="D79" t="str">
        <f>"""Mission ERP"",""GBRA"",""15"",""1"",""42112"""</f>
        <v>"Mission ERP","GBRA","15","1","42112"</v>
      </c>
      <c r="E79" t="str">
        <f>"42112"</f>
        <v>42112</v>
      </c>
      <c r="F79" t="str">
        <f>"CANYON-STANDARD GYPSUM"</f>
        <v>CANYON-STANDARD GYPSUM</v>
      </c>
      <c r="I79" s="8">
        <v>47472</v>
      </c>
      <c r="J79" s="8"/>
      <c r="K79" s="8">
        <v>49794</v>
      </c>
      <c r="L79" s="8"/>
      <c r="M79" s="8">
        <f t="shared" si="16"/>
        <v>2322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>
      <c r="A80" t="s">
        <v>26</v>
      </c>
      <c r="B80" t="str">
        <f t="shared" si="15"/>
        <v>SHOW</v>
      </c>
      <c r="C80" t="s">
        <v>30</v>
      </c>
      <c r="D80" t="str">
        <f>"""Mission ERP"",""GBRA"",""15"",""1"",""42113"""</f>
        <v>"Mission ERP","GBRA","15","1","42113"</v>
      </c>
      <c r="E80" t="str">
        <f>"42113"</f>
        <v>42113</v>
      </c>
      <c r="F80" t="str">
        <f>"CANYON-CMS STEEL"</f>
        <v>CANYON-CMS STEEL</v>
      </c>
      <c r="I80" s="8">
        <v>128800</v>
      </c>
      <c r="J80" s="8"/>
      <c r="K80" s="8">
        <v>135100</v>
      </c>
      <c r="L80" s="8"/>
      <c r="M80" s="8">
        <f t="shared" si="16"/>
        <v>6300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>
      <c r="A81" t="s">
        <v>26</v>
      </c>
      <c r="B81" t="str">
        <f t="shared" si="15"/>
        <v>SHOW</v>
      </c>
      <c r="C81" t="s">
        <v>30</v>
      </c>
      <c r="D81" t="str">
        <f>"""Mission ERP"",""GBRA"",""15"",""1"",""42114"""</f>
        <v>"Mission ERP","GBRA","15","1","42114"</v>
      </c>
      <c r="E81" t="str">
        <f>"42114"</f>
        <v>42114</v>
      </c>
      <c r="F81" t="str">
        <f>"CANYON-NEW BRAUNFELS UTILITIES"</f>
        <v>CANYON-NEW BRAUNFELS UTILITIES</v>
      </c>
      <c r="I81" s="8">
        <v>2800480</v>
      </c>
      <c r="J81" s="8"/>
      <c r="K81" s="8">
        <v>2937460</v>
      </c>
      <c r="L81" s="8"/>
      <c r="M81" s="8">
        <f t="shared" si="16"/>
        <v>136980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>
      <c r="A82" t="s">
        <v>26</v>
      </c>
      <c r="B82" t="str">
        <f t="shared" si="15"/>
        <v>SHOW</v>
      </c>
      <c r="C82" t="s">
        <v>30</v>
      </c>
      <c r="D82" t="str">
        <f>"""Mission ERP"",""GBRA"",""15"",""1"",""42115"""</f>
        <v>"Mission ERP","GBRA","15","1","42115"</v>
      </c>
      <c r="E82" t="str">
        <f>"42115"</f>
        <v>42115</v>
      </c>
      <c r="F82" t="str">
        <f>"CANYON-CRYSTAL CLEAR WSC"</f>
        <v>CANYON-CRYSTAL CLEAR WSC</v>
      </c>
      <c r="I82" s="8">
        <v>147200</v>
      </c>
      <c r="J82" s="8"/>
      <c r="K82" s="8">
        <v>154400</v>
      </c>
      <c r="L82" s="8"/>
      <c r="M82" s="8">
        <f t="shared" si="16"/>
        <v>7200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>
      <c r="A83" t="s">
        <v>26</v>
      </c>
      <c r="B83" t="str">
        <f t="shared" si="15"/>
        <v>SHOW</v>
      </c>
      <c r="C83" t="s">
        <v>30</v>
      </c>
      <c r="D83" t="str">
        <f>"""Mission ERP"",""GBRA"",""15"",""1"",""42116"""</f>
        <v>"Mission ERP","GBRA","15","1","42116"</v>
      </c>
      <c r="E83" t="str">
        <f>"42116"</f>
        <v>42116</v>
      </c>
      <c r="F83" t="str">
        <f>"CANYON-CANYON REGIONAL WATER AUTH"</f>
        <v>CANYON-CANYON REGIONAL WATER AUTH</v>
      </c>
      <c r="I83" s="8">
        <v>1945800</v>
      </c>
      <c r="J83" s="8"/>
      <c r="K83" s="8">
        <v>2040975</v>
      </c>
      <c r="L83" s="8"/>
      <c r="M83" s="8">
        <f t="shared" si="16"/>
        <v>95175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>
      <c r="A84" t="s">
        <v>26</v>
      </c>
      <c r="B84" t="str">
        <f t="shared" si="15"/>
        <v>SHOW</v>
      </c>
      <c r="C84" t="s">
        <v>30</v>
      </c>
      <c r="D84" t="str">
        <f>"""Mission ERP"",""GBRA"",""15"",""1"",""42117"""</f>
        <v>"Mission ERP","GBRA","15","1","42117"</v>
      </c>
      <c r="E84" t="str">
        <f>"42117"</f>
        <v>42117</v>
      </c>
      <c r="F84" t="str">
        <f>"CANYON-TEXAS WATER"</f>
        <v>CANYON-TEXAS WATER</v>
      </c>
      <c r="I84" s="8">
        <v>1177600</v>
      </c>
      <c r="J84" s="8"/>
      <c r="K84" s="8">
        <v>1235200</v>
      </c>
      <c r="L84" s="8"/>
      <c r="M84" s="8">
        <f t="shared" si="16"/>
        <v>57600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>
      <c r="A85" t="s">
        <v>26</v>
      </c>
      <c r="B85" t="str">
        <f t="shared" si="15"/>
        <v>SHOW</v>
      </c>
      <c r="C85" t="s">
        <v>30</v>
      </c>
      <c r="D85" t="str">
        <f>"""Mission ERP"",""GBRA"",""15"",""1"",""42118"""</f>
        <v>"Mission ERP","GBRA","15","1","42118"</v>
      </c>
      <c r="E85" t="str">
        <f>"42118"</f>
        <v>42118</v>
      </c>
      <c r="F85" t="str">
        <f>"CANYON-CITY OF SAN MARCOS"</f>
        <v>CANYON-CITY OF SAN MARCOS</v>
      </c>
      <c r="I85" s="8">
        <v>1840000</v>
      </c>
      <c r="J85" s="8"/>
      <c r="K85" s="8">
        <v>1930000</v>
      </c>
      <c r="L85" s="8"/>
      <c r="M85" s="8">
        <f t="shared" si="16"/>
        <v>90000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>
      <c r="A86" t="s">
        <v>26</v>
      </c>
      <c r="B86" t="str">
        <f t="shared" si="15"/>
        <v>SHOW</v>
      </c>
      <c r="C86" t="s">
        <v>30</v>
      </c>
      <c r="D86" t="str">
        <f>"""Mission ERP"",""GBRA"",""15"",""1"",""42119"""</f>
        <v>"Mission ERP","GBRA","15","1","42119"</v>
      </c>
      <c r="E86" t="str">
        <f>"42119"</f>
        <v>42119</v>
      </c>
      <c r="F86" t="str">
        <f>"CANYON-GUADALUPE POWER PARTNERS"</f>
        <v>CANYON-GUADALUPE POWER PARTNERS</v>
      </c>
      <c r="I86" s="8">
        <v>1258560</v>
      </c>
      <c r="J86" s="8"/>
      <c r="K86" s="8">
        <v>1320120</v>
      </c>
      <c r="L86" s="8"/>
      <c r="M86" s="8">
        <f t="shared" si="16"/>
        <v>61560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>
      <c r="A87" t="s">
        <v>26</v>
      </c>
      <c r="B87" t="str">
        <f t="shared" si="15"/>
        <v>SHOW</v>
      </c>
      <c r="C87" t="s">
        <v>30</v>
      </c>
      <c r="D87" t="str">
        <f>"""Mission ERP"",""GBRA"",""15"",""1"",""42120"""</f>
        <v>"Mission ERP","GBRA","15","1","42120"</v>
      </c>
      <c r="E87" t="str">
        <f>"42120"</f>
        <v>42120</v>
      </c>
      <c r="F87" t="str">
        <f>"CANYON-CITY OF KYLE"</f>
        <v>CANYON-CITY OF KYLE</v>
      </c>
      <c r="I87" s="8">
        <v>1001512</v>
      </c>
      <c r="J87" s="8"/>
      <c r="K87" s="8">
        <v>1050499</v>
      </c>
      <c r="L87" s="8"/>
      <c r="M87" s="8">
        <f t="shared" si="16"/>
        <v>48987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>
      <c r="A88" t="s">
        <v>26</v>
      </c>
      <c r="B88" t="str">
        <f t="shared" si="15"/>
        <v>SHOW</v>
      </c>
      <c r="C88" t="s">
        <v>30</v>
      </c>
      <c r="D88" t="str">
        <f>"""Mission ERP"",""GBRA"",""15"",""1"",""42121"""</f>
        <v>"Mission ERP","GBRA","15","1","42121"</v>
      </c>
      <c r="E88" t="str">
        <f>"42121"</f>
        <v>42121</v>
      </c>
      <c r="F88" t="str">
        <f>"CANYON-GREEN VALLEY SUD"</f>
        <v>CANYON-GREEN VALLEY SUD</v>
      </c>
      <c r="I88" s="8">
        <v>184000</v>
      </c>
      <c r="J88" s="8"/>
      <c r="K88" s="8">
        <v>193000</v>
      </c>
      <c r="L88" s="8"/>
      <c r="M88" s="8">
        <f t="shared" si="16"/>
        <v>9000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>
      <c r="A89" t="s">
        <v>26</v>
      </c>
      <c r="B89" t="str">
        <f t="shared" si="15"/>
        <v>SHOW</v>
      </c>
      <c r="C89" t="s">
        <v>30</v>
      </c>
      <c r="D89" t="str">
        <f>"""Mission ERP"",""GBRA"",""15"",""1"",""42122"""</f>
        <v>"Mission ERP","GBRA","15","1","42122"</v>
      </c>
      <c r="E89" t="str">
        <f>"42122"</f>
        <v>42122</v>
      </c>
      <c r="F89" t="str">
        <f>"CANYON-HAYS ENERGY LTD PARTNERSHIP"</f>
        <v>CANYON-HAYS ENERGY LTD PARTNERSHIP</v>
      </c>
      <c r="I89" s="8">
        <v>453376</v>
      </c>
      <c r="J89" s="8"/>
      <c r="K89" s="8">
        <v>475552</v>
      </c>
      <c r="L89" s="8"/>
      <c r="M89" s="8">
        <f t="shared" si="16"/>
        <v>22176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>
      <c r="A90" t="s">
        <v>26</v>
      </c>
      <c r="B90" t="str">
        <f t="shared" si="15"/>
        <v>SHOW</v>
      </c>
      <c r="C90" t="s">
        <v>30</v>
      </c>
      <c r="D90" t="str">
        <f>"""Mission ERP"",""GBRA"",""15"",""1"",""42123"""</f>
        <v>"Mission ERP","GBRA","15","1","42123"</v>
      </c>
      <c r="E90" t="str">
        <f>"42123"</f>
        <v>42123</v>
      </c>
      <c r="F90" t="str">
        <f>"CANYON-CITY OF FAIR OAKS"</f>
        <v>CANYON-CITY OF FAIR OAKS</v>
      </c>
      <c r="I90" s="8">
        <v>340400</v>
      </c>
      <c r="J90" s="8"/>
      <c r="K90" s="8">
        <v>357050</v>
      </c>
      <c r="L90" s="8"/>
      <c r="M90" s="8">
        <f t="shared" si="16"/>
        <v>16650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>
      <c r="A91" t="s">
        <v>26</v>
      </c>
      <c r="B91" t="str">
        <f t="shared" si="15"/>
        <v>SHOW</v>
      </c>
      <c r="C91" t="s">
        <v>30</v>
      </c>
      <c r="D91" t="str">
        <f>"""Mission ERP"",""GBRA"",""15"",""1"",""42124"""</f>
        <v>"Mission ERP","GBRA","15","1","42124"</v>
      </c>
      <c r="E91" t="str">
        <f>"42124"</f>
        <v>42124</v>
      </c>
      <c r="F91" t="str">
        <f>"CANYON-SAN ANTONIO WATER SYSTEMS"</f>
        <v>CANYON-SAN ANTONIO WATER SYSTEMS</v>
      </c>
      <c r="I91" s="8">
        <v>916120</v>
      </c>
      <c r="J91" s="8"/>
      <c r="K91" s="8">
        <v>962275</v>
      </c>
      <c r="L91" s="8"/>
      <c r="M91" s="8">
        <f t="shared" si="16"/>
        <v>46155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>
      <c r="A92" t="s">
        <v>26</v>
      </c>
      <c r="B92" t="str">
        <f t="shared" si="15"/>
        <v>SHOW</v>
      </c>
      <c r="C92" t="s">
        <v>30</v>
      </c>
      <c r="D92" t="str">
        <f>"""Mission ERP"",""GBRA"",""15"",""1"",""42125"""</f>
        <v>"Mission ERP","GBRA","15","1","42125"</v>
      </c>
      <c r="E92" t="str">
        <f>"42125"</f>
        <v>42125</v>
      </c>
      <c r="F92" t="str">
        <f>"CANYON-CITY OF BOERNE"</f>
        <v>CANYON-CITY OF BOERNE</v>
      </c>
      <c r="I92" s="8">
        <v>664424</v>
      </c>
      <c r="J92" s="8"/>
      <c r="K92" s="8">
        <v>696923</v>
      </c>
      <c r="L92" s="8"/>
      <c r="M92" s="8">
        <f t="shared" si="16"/>
        <v>32499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>
      <c r="A93" t="s">
        <v>26</v>
      </c>
      <c r="B93" t="str">
        <f t="shared" si="15"/>
        <v>SHOW</v>
      </c>
      <c r="C93" t="s">
        <v>30</v>
      </c>
      <c r="D93" t="str">
        <f>"""Mission ERP"",""GBRA"",""15"",""1"",""42126"""</f>
        <v>"Mission ERP","GBRA","15","1","42126"</v>
      </c>
      <c r="E93" t="str">
        <f>"42126"</f>
        <v>42126</v>
      </c>
      <c r="F93" t="str">
        <f>"CANYON-GBRA-COMAL TRACE"</f>
        <v>CANYON-GBRA-COMAL TRACE</v>
      </c>
      <c r="I93" s="8">
        <v>26680</v>
      </c>
      <c r="J93" s="8"/>
      <c r="K93" s="8">
        <v>27985</v>
      </c>
      <c r="L93" s="8"/>
      <c r="M93" s="8">
        <f t="shared" si="16"/>
        <v>1305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>
      <c r="A94" t="s">
        <v>26</v>
      </c>
      <c r="B94" t="str">
        <f t="shared" si="15"/>
        <v>SHOW</v>
      </c>
      <c r="C94" t="s">
        <v>30</v>
      </c>
      <c r="D94" t="str">
        <f>"""Mission ERP"",""GBRA"",""15"",""1"",""42127"""</f>
        <v>"Mission ERP","GBRA","15","1","42127"</v>
      </c>
      <c r="E94" t="str">
        <f>"42127"</f>
        <v>42127</v>
      </c>
      <c r="F94" t="str">
        <f>"CANYON-SAN JOSE-PARK VILLAGE"</f>
        <v>CANYON-SAN JOSE-PARK VILLAGE</v>
      </c>
      <c r="I94" s="8">
        <v>59248</v>
      </c>
      <c r="J94" s="8"/>
      <c r="K94" s="8">
        <v>62146</v>
      </c>
      <c r="L94" s="8"/>
      <c r="M94" s="8">
        <f t="shared" si="16"/>
        <v>2898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>
      <c r="A95" t="s">
        <v>26</v>
      </c>
      <c r="B95" t="str">
        <f t="shared" si="15"/>
        <v>SHOW</v>
      </c>
      <c r="C95" t="s">
        <v>30</v>
      </c>
      <c r="D95" t="str">
        <f>"""Mission ERP"",""GBRA"",""15"",""1"",""42128"""</f>
        <v>"Mission ERP","GBRA","15","1","42128"</v>
      </c>
      <c r="E95" t="str">
        <f>"42128"</f>
        <v>42128</v>
      </c>
      <c r="F95" t="str">
        <f>"CANYON-JACQUELYN COUSER"</f>
        <v>CANYON-JACQUELYN COUSER</v>
      </c>
      <c r="I95" s="8">
        <v>18400</v>
      </c>
      <c r="J95" s="8"/>
      <c r="K95" s="8">
        <v>19300</v>
      </c>
      <c r="L95" s="8"/>
      <c r="M95" s="8">
        <f t="shared" si="16"/>
        <v>900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>
      <c r="A96" t="s">
        <v>26</v>
      </c>
      <c r="B96" t="str">
        <f t="shared" si="15"/>
        <v>SHOW</v>
      </c>
      <c r="C96" t="s">
        <v>30</v>
      </c>
      <c r="D96" t="str">
        <f>"""Mission ERP"",""GBRA"",""15"",""1"",""42129"""</f>
        <v>"Mission ERP","GBRA","15","1","42129"</v>
      </c>
      <c r="E96" t="str">
        <f>"42129"</f>
        <v>42129</v>
      </c>
      <c r="F96" t="str">
        <f>"CANYON-BREMER RANCH, LTD"</f>
        <v>CANYON-BREMER RANCH, LTD</v>
      </c>
      <c r="I96" s="8">
        <v>18400</v>
      </c>
      <c r="J96" s="8"/>
      <c r="K96" s="8">
        <v>19300</v>
      </c>
      <c r="L96" s="8"/>
      <c r="M96" s="8">
        <f t="shared" si="16"/>
        <v>900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>
      <c r="A97" t="s">
        <v>26</v>
      </c>
      <c r="B97" t="str">
        <f t="shared" si="15"/>
        <v>SHOW</v>
      </c>
      <c r="C97" t="s">
        <v>30</v>
      </c>
      <c r="D97" t="str">
        <f>"""Mission ERP"",""GBRA"",""15"",""1"",""42130"""</f>
        <v>"Mission ERP","GBRA","15","1","42130"</v>
      </c>
      <c r="E97" t="str">
        <f>"42130"</f>
        <v>42130</v>
      </c>
      <c r="F97" t="str">
        <f>"CANYON-CITY OF BLANCO"</f>
        <v>CANYON-CITY OF BLANCO</v>
      </c>
      <c r="I97" s="8">
        <v>110400</v>
      </c>
      <c r="J97" s="8"/>
      <c r="K97" s="8">
        <v>115800</v>
      </c>
      <c r="L97" s="8"/>
      <c r="M97" s="8">
        <f t="shared" si="16"/>
        <v>5400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>
      <c r="A98" t="s">
        <v>26</v>
      </c>
      <c r="B98" t="str">
        <f t="shared" si="15"/>
        <v>SHOW</v>
      </c>
      <c r="C98" t="s">
        <v>30</v>
      </c>
      <c r="D98" t="str">
        <f>"""Mission ERP"",""GBRA"",""15"",""1"",""42131"""</f>
        <v>"Mission ERP","GBRA","15","1","42131"</v>
      </c>
      <c r="E98" t="str">
        <f>"42131"</f>
        <v>42131</v>
      </c>
      <c r="F98" t="str">
        <f>"CANYON-FORESIGHT"</f>
        <v>CANYON-FORESIGHT</v>
      </c>
      <c r="I98" s="8">
        <v>53360</v>
      </c>
      <c r="J98" s="8"/>
      <c r="K98" s="8">
        <v>55970</v>
      </c>
      <c r="L98" s="8"/>
      <c r="M98" s="8">
        <f t="shared" si="16"/>
        <v>2610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>
      <c r="A99" t="s">
        <v>26</v>
      </c>
      <c r="B99" t="str">
        <f t="shared" si="15"/>
        <v>SHOW</v>
      </c>
      <c r="C99" t="s">
        <v>30</v>
      </c>
      <c r="D99" t="str">
        <f>"""Mission ERP"",""GBRA"",""15"",""1"",""42132"""</f>
        <v>"Mission ERP","GBRA","15","1","42132"</v>
      </c>
      <c r="E99" t="str">
        <f>"42132"</f>
        <v>42132</v>
      </c>
      <c r="F99" t="str">
        <f>"CANYON-CORDILLERA RANCH, LTD"</f>
        <v>CANYON-CORDILLERA RANCH, LTD</v>
      </c>
      <c r="I99" s="8">
        <v>276000</v>
      </c>
      <c r="J99" s="8"/>
      <c r="K99" s="8">
        <v>289500</v>
      </c>
      <c r="L99" s="8"/>
      <c r="M99" s="8">
        <f t="shared" si="16"/>
        <v>13500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>
      <c r="A100" t="s">
        <v>26</v>
      </c>
      <c r="B100" t="str">
        <f t="shared" si="15"/>
        <v>SHOW</v>
      </c>
      <c r="C100" t="s">
        <v>30</v>
      </c>
      <c r="D100" t="str">
        <f>"""Mission ERP"",""GBRA"",""15"",""1"",""42133"""</f>
        <v>"Mission ERP","GBRA","15","1","42133"</v>
      </c>
      <c r="E100" t="str">
        <f>"42133"</f>
        <v>42133</v>
      </c>
      <c r="F100" t="str">
        <f>"CANYON-KENDALL COUNTY/TAPATIO SPRINGS"</f>
        <v>CANYON-KENDALL COUNTY/TAPATIO SPRINGS</v>
      </c>
      <c r="I100" s="8">
        <v>138000</v>
      </c>
      <c r="J100" s="8"/>
      <c r="K100" s="8">
        <v>144750</v>
      </c>
      <c r="L100" s="8"/>
      <c r="M100" s="8">
        <f t="shared" si="16"/>
        <v>6750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>
      <c r="A101" t="s">
        <v>26</v>
      </c>
      <c r="B101" t="str">
        <f t="shared" si="15"/>
        <v>SHOW</v>
      </c>
      <c r="C101" t="s">
        <v>30</v>
      </c>
      <c r="D101" t="str">
        <f>"""Mission ERP"",""GBRA"",""15"",""1"",""42134"""</f>
        <v>"Mission ERP","GBRA","15","1","42134"</v>
      </c>
      <c r="E101" t="str">
        <f>"42134"</f>
        <v>42134</v>
      </c>
      <c r="F101" t="str">
        <f>"CANYON-CITY OF BUDA"</f>
        <v>CANYON-CITY OF BUDA</v>
      </c>
      <c r="I101" s="8">
        <v>309120</v>
      </c>
      <c r="J101" s="8"/>
      <c r="K101" s="8">
        <v>324240</v>
      </c>
      <c r="L101" s="8"/>
      <c r="M101" s="8">
        <f t="shared" si="16"/>
        <v>15120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>
      <c r="A102" t="s">
        <v>26</v>
      </c>
      <c r="B102" t="str">
        <f t="shared" si="15"/>
        <v>SHOW</v>
      </c>
      <c r="C102" t="s">
        <v>30</v>
      </c>
      <c r="D102" t="str">
        <f>"""Mission ERP"",""GBRA"",""15"",""1"",""42135"""</f>
        <v>"Mission ERP","GBRA","15","1","42135"</v>
      </c>
      <c r="E102" t="str">
        <f>"42135"</f>
        <v>42135</v>
      </c>
      <c r="F102" t="str">
        <f>"CANYON-DH INV-JOHNSON RANCH"</f>
        <v>CANYON-DH INV-JOHNSON RANCH</v>
      </c>
      <c r="I102" s="8">
        <v>165600</v>
      </c>
      <c r="J102" s="8"/>
      <c r="K102" s="8">
        <v>173700</v>
      </c>
      <c r="L102" s="8"/>
      <c r="M102" s="8">
        <f t="shared" si="16"/>
        <v>8100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>
      <c r="A103" t="s">
        <v>26</v>
      </c>
      <c r="B103" t="str">
        <f t="shared" si="15"/>
        <v>SHOW</v>
      </c>
      <c r="C103" t="s">
        <v>30</v>
      </c>
      <c r="D103" t="str">
        <f>"""Mission ERP"",""GBRA"",""15"",""1"",""42136"""</f>
        <v>"Mission ERP","GBRA","15","1","42136"</v>
      </c>
      <c r="E103" t="str">
        <f>"42136"</f>
        <v>42136</v>
      </c>
      <c r="F103" t="str">
        <f>"CANYON-GOFORTH SUD"</f>
        <v>CANYON-GOFORTH SUD</v>
      </c>
      <c r="I103" s="8">
        <v>770224</v>
      </c>
      <c r="J103" s="8"/>
      <c r="K103" s="8">
        <v>807898</v>
      </c>
      <c r="L103" s="8"/>
      <c r="M103" s="8">
        <f t="shared" si="16"/>
        <v>37674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>
      <c r="A104" t="s">
        <v>26</v>
      </c>
      <c r="B104" t="str">
        <f t="shared" si="15"/>
        <v>SHOW</v>
      </c>
      <c r="C104" t="s">
        <v>30</v>
      </c>
      <c r="D104" t="str">
        <f>"""Mission ERP"",""GBRA"",""15"",""1"",""42137"""</f>
        <v>"Mission ERP","GBRA","15","1","42137"</v>
      </c>
      <c r="E104" t="str">
        <f>"42137"</f>
        <v>42137</v>
      </c>
      <c r="F104" t="str">
        <f>"CANYON-HH RANCH PROPERTIES"</f>
        <v>CANYON-HH RANCH PROPERTIES</v>
      </c>
      <c r="I104" s="8">
        <v>46000</v>
      </c>
      <c r="J104" s="8"/>
      <c r="K104" s="8">
        <v>48250</v>
      </c>
      <c r="L104" s="8"/>
      <c r="M104" s="8">
        <f t="shared" si="16"/>
        <v>2250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hidden="1">
      <c r="A105" t="s">
        <v>26</v>
      </c>
      <c r="B105" t="str">
        <f t="shared" si="15"/>
        <v>HIDE</v>
      </c>
      <c r="C105" t="s">
        <v>30</v>
      </c>
      <c r="D105" t="str">
        <f>"""Mission ERP"",""GBRA"",""15"",""1"",""42138"""</f>
        <v>"Mission ERP","GBRA","15","1","42138"</v>
      </c>
      <c r="E105" t="str">
        <f>"42138"</f>
        <v>42138</v>
      </c>
      <c r="F105" t="str">
        <f>"CANYON-SUNFIELD"</f>
        <v>CANYON-SUNFIELD</v>
      </c>
      <c r="I105" s="8">
        <v>0</v>
      </c>
      <c r="J105" s="8"/>
      <c r="K105" s="8">
        <v>0</v>
      </c>
      <c r="L105" s="8"/>
      <c r="M105" s="8">
        <f t="shared" si="16"/>
        <v>0</v>
      </c>
      <c r="P105">
        <f t="shared" si="17"/>
        <v>0</v>
      </c>
      <c r="Q105">
        <f t="shared" si="18"/>
        <v>0</v>
      </c>
      <c r="R105">
        <f t="shared" si="19"/>
        <v>0</v>
      </c>
    </row>
    <row r="106" spans="1:18">
      <c r="A106" t="s">
        <v>26</v>
      </c>
      <c r="B106" t="str">
        <f t="shared" si="15"/>
        <v>SHOW</v>
      </c>
      <c r="C106" t="s">
        <v>30</v>
      </c>
      <c r="D106" t="str">
        <f>"""Mission ERP"",""GBRA"",""15"",""1"",""42139"""</f>
        <v>"Mission ERP","GBRA","15","1","42139"</v>
      </c>
      <c r="E106" t="str">
        <f>"42139"</f>
        <v>42139</v>
      </c>
      <c r="F106" t="str">
        <f>"CANYON-MONARCH UTILITIES, LP"</f>
        <v>CANYON-MONARCH UTILITIES, LP</v>
      </c>
      <c r="I106" s="8">
        <v>103040</v>
      </c>
      <c r="J106" s="8"/>
      <c r="K106" s="8">
        <v>108080</v>
      </c>
      <c r="L106" s="8"/>
      <c r="M106" s="8">
        <f t="shared" si="16"/>
        <v>5040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>
      <c r="A107" t="s">
        <v>26</v>
      </c>
      <c r="B107" t="str">
        <f t="shared" si="15"/>
        <v>SHOW</v>
      </c>
      <c r="C107" t="s">
        <v>30</v>
      </c>
      <c r="D107" t="str">
        <f>"""Mission ERP"",""GBRA"",""15"",""1"",""42140"""</f>
        <v>"Mission ERP","GBRA","15","1","42140"</v>
      </c>
      <c r="E107" t="str">
        <f>"42140"</f>
        <v>42140</v>
      </c>
      <c r="F107" t="str">
        <f>"CANYON-MIRALOMAS MUD"</f>
        <v>CANYON-MIRALOMAS MUD</v>
      </c>
      <c r="I107" s="8">
        <v>138000</v>
      </c>
      <c r="J107" s="8"/>
      <c r="K107" s="8">
        <v>144750</v>
      </c>
      <c r="L107" s="8"/>
      <c r="M107" s="8">
        <f t="shared" si="16"/>
        <v>6750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>
      <c r="A108" t="s">
        <v>26</v>
      </c>
      <c r="B108" t="str">
        <f t="shared" si="15"/>
        <v>SHOW</v>
      </c>
      <c r="C108" t="s">
        <v>30</v>
      </c>
      <c r="D108" t="str">
        <f>"""Mission ERP"",""GBRA"",""15"",""1"",""42141"""</f>
        <v>"Mission ERP","GBRA","15","1","42141"</v>
      </c>
      <c r="E108" t="str">
        <f>"42141"</f>
        <v>42141</v>
      </c>
      <c r="F108" t="str">
        <f>"CANYON-SMALL WATER SALES"</f>
        <v>CANYON-SMALL WATER SALES</v>
      </c>
      <c r="I108" s="8">
        <v>147936</v>
      </c>
      <c r="J108" s="8"/>
      <c r="K108" s="8">
        <v>49022</v>
      </c>
      <c r="L108" s="8"/>
      <c r="M108" s="8">
        <f t="shared" si="16"/>
        <v>-98914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hidden="1">
      <c r="A109" t="s">
        <v>26</v>
      </c>
      <c r="B109" t="str">
        <f t="shared" si="15"/>
        <v>HIDE</v>
      </c>
      <c r="C109" t="s">
        <v>30</v>
      </c>
      <c r="D109" t="str">
        <f>"""Mission ERP"",""GBRA"",""15"",""1"",""42142"""</f>
        <v>"Mission ERP","GBRA","15","1","42142"</v>
      </c>
      <c r="E109" t="str">
        <f>"42142"</f>
        <v>42142</v>
      </c>
      <c r="F109" t="str">
        <f>"CANYON-SELECT ENERGY"</f>
        <v>CANYON-SELECT ENERGY</v>
      </c>
      <c r="I109" s="8">
        <v>0</v>
      </c>
      <c r="J109" s="8"/>
      <c r="K109" s="8">
        <v>0</v>
      </c>
      <c r="L109" s="8"/>
      <c r="M109" s="8">
        <f t="shared" si="16"/>
        <v>0</v>
      </c>
      <c r="P109">
        <f t="shared" si="17"/>
        <v>0</v>
      </c>
      <c r="Q109">
        <f t="shared" si="18"/>
        <v>0</v>
      </c>
      <c r="R109">
        <f t="shared" si="19"/>
        <v>0</v>
      </c>
    </row>
    <row r="110" spans="1:18">
      <c r="A110" t="s">
        <v>26</v>
      </c>
      <c r="B110" t="str">
        <f t="shared" si="15"/>
        <v>SHOW</v>
      </c>
      <c r="C110" t="s">
        <v>30</v>
      </c>
      <c r="D110" t="str">
        <f>"""Mission ERP"",""GBRA"",""15"",""1"",""42143"""</f>
        <v>"Mission ERP","GBRA","15","1","42143"</v>
      </c>
      <c r="E110" t="str">
        <f>"42143"</f>
        <v>42143</v>
      </c>
      <c r="F110" t="str">
        <f>"CANYON-GBRA CANAL SYSTEM CUSTOMERS"</f>
        <v>CANYON-GBRA CANAL SYSTEM CUSTOMERS</v>
      </c>
      <c r="I110" s="8">
        <v>18563</v>
      </c>
      <c r="J110" s="8"/>
      <c r="K110" s="8">
        <v>0</v>
      </c>
      <c r="L110" s="8"/>
      <c r="M110" s="8">
        <f t="shared" si="16"/>
        <v>-18563</v>
      </c>
      <c r="P110">
        <f t="shared" si="17"/>
        <v>1</v>
      </c>
      <c r="Q110">
        <f t="shared" si="18"/>
        <v>0</v>
      </c>
      <c r="R110">
        <f t="shared" si="19"/>
        <v>1</v>
      </c>
    </row>
    <row r="111" spans="1:18" hidden="1">
      <c r="A111" t="s">
        <v>26</v>
      </c>
      <c r="B111" t="str">
        <f t="shared" si="15"/>
        <v>HIDE</v>
      </c>
      <c r="C111" t="s">
        <v>30</v>
      </c>
      <c r="D111" t="str">
        <f>"""Mission ERP"",""GBRA"",""15"",""1"",""42149"""</f>
        <v>"Mission ERP","GBRA","15","1","42149"</v>
      </c>
      <c r="E111" t="str">
        <f>"42149"</f>
        <v>42149</v>
      </c>
      <c r="F111" t="str">
        <f>"CANYON-INTERRUPTIBLE WATER"</f>
        <v>CANYON-INTERRUPTIBLE WATER</v>
      </c>
      <c r="I111" s="8">
        <v>0</v>
      </c>
      <c r="J111" s="8"/>
      <c r="K111" s="8">
        <v>0</v>
      </c>
      <c r="L111" s="8"/>
      <c r="M111" s="8">
        <f t="shared" si="16"/>
        <v>0</v>
      </c>
      <c r="P111">
        <f t="shared" si="17"/>
        <v>0</v>
      </c>
      <c r="Q111">
        <f t="shared" si="18"/>
        <v>0</v>
      </c>
      <c r="R111">
        <f t="shared" si="19"/>
        <v>0</v>
      </c>
    </row>
    <row r="112" spans="1:18">
      <c r="A112" t="s">
        <v>26</v>
      </c>
      <c r="B112" t="str">
        <f t="shared" si="15"/>
        <v>SHOW</v>
      </c>
      <c r="C112" t="s">
        <v>30</v>
      </c>
      <c r="D112" t="str">
        <f>"""Mission ERP"",""GBRA"",""15"",""1"",""42150"""</f>
        <v>"Mission ERP","GBRA","15","1","42150"</v>
      </c>
      <c r="E112" t="str">
        <f>"42150"</f>
        <v>42150</v>
      </c>
      <c r="F112" t="str">
        <f>"WOMACK-NEW BRAUNFELS UTILITIES"</f>
        <v>WOMACK-NEW BRAUNFELS UTILITIES</v>
      </c>
      <c r="I112" s="8">
        <v>524400</v>
      </c>
      <c r="J112" s="8"/>
      <c r="K112" s="8">
        <v>550050</v>
      </c>
      <c r="L112" s="8"/>
      <c r="M112" s="8">
        <f t="shared" si="16"/>
        <v>25650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>
      <c r="A113" t="s">
        <v>26</v>
      </c>
      <c r="B113" t="str">
        <f t="shared" si="15"/>
        <v>SHOW</v>
      </c>
      <c r="C113" t="s">
        <v>30</v>
      </c>
      <c r="D113" t="str">
        <f>"""Mission ERP"",""GBRA"",""15"",""1"",""42151"""</f>
        <v>"Mission ERP","GBRA","15","1","42151"</v>
      </c>
      <c r="E113" t="str">
        <f>"42151"</f>
        <v>42151</v>
      </c>
      <c r="F113" t="str">
        <f>"CARRIZO-NEW BRAUNFELS UTILITES"</f>
        <v>CARRIZO-NEW BRAUNFELS UTILITES</v>
      </c>
      <c r="I113" s="8">
        <v>840000</v>
      </c>
      <c r="J113" s="8"/>
      <c r="K113" s="8">
        <v>1080000</v>
      </c>
      <c r="L113" s="8"/>
      <c r="M113" s="8">
        <f t="shared" si="16"/>
        <v>240000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>
      <c r="A114" t="s">
        <v>26</v>
      </c>
      <c r="B114" t="str">
        <f t="shared" si="15"/>
        <v>SHOW</v>
      </c>
      <c r="C114" t="s">
        <v>30</v>
      </c>
      <c r="D114" t="str">
        <f>"""Mission ERP"",""GBRA"",""15"",""1"",""42152"""</f>
        <v>"Mission ERP","GBRA","15","1","42152"</v>
      </c>
      <c r="E114" t="str">
        <f>"42152"</f>
        <v>42152</v>
      </c>
      <c r="F114" t="str">
        <f>"CARRIZO-CITY OF LOCKHART"</f>
        <v>CARRIZO-CITY OF LOCKHART</v>
      </c>
      <c r="I114" s="8">
        <v>315000</v>
      </c>
      <c r="J114" s="8"/>
      <c r="K114" s="8">
        <v>405000</v>
      </c>
      <c r="L114" s="8"/>
      <c r="M114" s="8">
        <f t="shared" si="16"/>
        <v>90000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>
      <c r="A115" t="s">
        <v>26</v>
      </c>
      <c r="B115" t="str">
        <f t="shared" si="15"/>
        <v>SHOW</v>
      </c>
      <c r="C115" t="s">
        <v>30</v>
      </c>
      <c r="D115" t="str">
        <f>"""Mission ERP"",""GBRA"",""15"",""1"",""42153"""</f>
        <v>"Mission ERP","GBRA","15","1","42153"</v>
      </c>
      <c r="E115" t="str">
        <f>"42153"</f>
        <v>42153</v>
      </c>
      <c r="F115" t="str">
        <f>"CARRIZO-GOFORTH SUD"</f>
        <v>CARRIZO-GOFORTH SUD</v>
      </c>
      <c r="I115" s="8">
        <v>420000</v>
      </c>
      <c r="J115" s="8"/>
      <c r="K115" s="8">
        <v>540000</v>
      </c>
      <c r="L115" s="8"/>
      <c r="M115" s="8">
        <f t="shared" si="16"/>
        <v>120000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hidden="1">
      <c r="A116" t="s">
        <v>26</v>
      </c>
      <c r="B116" t="str">
        <f t="shared" si="15"/>
        <v>HIDE</v>
      </c>
      <c r="C116" t="s">
        <v>30</v>
      </c>
      <c r="D116" t="str">
        <f>"""Mission ERP"",""GBRA"",""15"",""1"",""42154"""</f>
        <v>"Mission ERP","GBRA","15","1","42154"</v>
      </c>
      <c r="E116" t="str">
        <f>"42154"</f>
        <v>42154</v>
      </c>
      <c r="F116" t="str">
        <f>"CARRIZO-CAMINO REAL"</f>
        <v>CARRIZO-CAMINO REAL</v>
      </c>
      <c r="I116" s="8">
        <v>0</v>
      </c>
      <c r="J116" s="8"/>
      <c r="K116" s="8">
        <v>0</v>
      </c>
      <c r="L116" s="8"/>
      <c r="M116" s="8">
        <f t="shared" si="16"/>
        <v>0</v>
      </c>
      <c r="P116">
        <f t="shared" si="17"/>
        <v>0</v>
      </c>
      <c r="Q116">
        <f t="shared" si="18"/>
        <v>0</v>
      </c>
      <c r="R116">
        <f t="shared" si="19"/>
        <v>0</v>
      </c>
    </row>
    <row r="117" spans="1:18" hidden="1">
      <c r="A117" t="s">
        <v>26</v>
      </c>
      <c r="B117" t="str">
        <f t="shared" si="15"/>
        <v>HIDE</v>
      </c>
      <c r="C117" t="s">
        <v>30</v>
      </c>
      <c r="D117" t="str">
        <f>"""Mission ERP"",""GBRA"",""15"",""1"",""42155"""</f>
        <v>"Mission ERP","GBRA","15","1","42155"</v>
      </c>
      <c r="E117" t="str">
        <f>"42155"</f>
        <v>42155</v>
      </c>
      <c r="F117" t="str">
        <f>"CARRIZO-COUNTY LINE"</f>
        <v>CARRIZO-COUNTY LINE</v>
      </c>
      <c r="I117" s="8">
        <v>0</v>
      </c>
      <c r="J117" s="8"/>
      <c r="K117" s="8">
        <v>0</v>
      </c>
      <c r="L117" s="8"/>
      <c r="M117" s="8">
        <f t="shared" si="16"/>
        <v>0</v>
      </c>
      <c r="P117">
        <f t="shared" si="17"/>
        <v>0</v>
      </c>
      <c r="Q117">
        <f t="shared" si="18"/>
        <v>0</v>
      </c>
      <c r="R117">
        <f t="shared" si="19"/>
        <v>0</v>
      </c>
    </row>
    <row r="118" spans="1:18" hidden="1">
      <c r="A118" t="s">
        <v>26</v>
      </c>
      <c r="B118" t="str">
        <f t="shared" si="15"/>
        <v>HIDE</v>
      </c>
      <c r="C118" t="s">
        <v>30</v>
      </c>
      <c r="D118" t="str">
        <f>"""Mission ERP"",""GBRA"",""15"",""1"",""42156"""</f>
        <v>"Mission ERP","GBRA","15","1","42156"</v>
      </c>
      <c r="E118" t="str">
        <f>"42156"</f>
        <v>42156</v>
      </c>
      <c r="F118" t="str">
        <f>"CARRIZO-MAXWELL SUD"</f>
        <v>CARRIZO-MAXWELL SUD</v>
      </c>
      <c r="I118" s="8">
        <v>0</v>
      </c>
      <c r="J118" s="8"/>
      <c r="K118" s="8">
        <v>0</v>
      </c>
      <c r="L118" s="8"/>
      <c r="M118" s="8">
        <f t="shared" si="16"/>
        <v>0</v>
      </c>
      <c r="P118">
        <f t="shared" si="17"/>
        <v>0</v>
      </c>
      <c r="Q118">
        <f t="shared" si="18"/>
        <v>0</v>
      </c>
      <c r="R118">
        <f t="shared" si="19"/>
        <v>0</v>
      </c>
    </row>
    <row r="119" spans="1:18" hidden="1">
      <c r="A119" t="s">
        <v>26</v>
      </c>
      <c r="B119" t="str">
        <f t="shared" si="15"/>
        <v>HIDE</v>
      </c>
      <c r="C119" t="s">
        <v>30</v>
      </c>
      <c r="D119" t="str">
        <f>"""Mission ERP"",""GBRA"",""15"",""1"",""42159"""</f>
        <v>"Mission ERP","GBRA","15","1","42159"</v>
      </c>
      <c r="E119" t="str">
        <f>"42159"</f>
        <v>42159</v>
      </c>
      <c r="F119" t="str">
        <f>"CARRIZO-SMALL WATER SALES"</f>
        <v>CARRIZO-SMALL WATER SALES</v>
      </c>
      <c r="I119" s="8">
        <v>0</v>
      </c>
      <c r="J119" s="8"/>
      <c r="K119" s="8">
        <v>0</v>
      </c>
      <c r="L119" s="8"/>
      <c r="M119" s="8">
        <f t="shared" si="16"/>
        <v>0</v>
      </c>
      <c r="P119">
        <f t="shared" si="17"/>
        <v>0</v>
      </c>
      <c r="Q119">
        <f t="shared" si="18"/>
        <v>0</v>
      </c>
      <c r="R119">
        <f t="shared" si="19"/>
        <v>0</v>
      </c>
    </row>
    <row r="120" spans="1:18">
      <c r="A120" t="s">
        <v>26</v>
      </c>
      <c r="B120" t="str">
        <f t="shared" si="15"/>
        <v>SHOW</v>
      </c>
      <c r="C120" t="s">
        <v>30</v>
      </c>
      <c r="D120" t="str">
        <f>"""Mission ERP"",""GBRA"",""15"",""1"",""42170"""</f>
        <v>"Mission ERP","GBRA","15","1","42170"</v>
      </c>
      <c r="E120" t="str">
        <f>"42170"</f>
        <v>42170</v>
      </c>
      <c r="F120" t="str">
        <f>"CANAL-PT LAVACA"</f>
        <v>CANAL-PT LAVACA</v>
      </c>
      <c r="I120" s="8">
        <v>148007</v>
      </c>
      <c r="J120" s="8"/>
      <c r="K120" s="8">
        <v>197442</v>
      </c>
      <c r="L120" s="8"/>
      <c r="M120" s="8">
        <f t="shared" si="16"/>
        <v>49435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>
      <c r="A121" t="s">
        <v>26</v>
      </c>
      <c r="B121" t="str">
        <f t="shared" si="15"/>
        <v>SHOW</v>
      </c>
      <c r="C121" t="s">
        <v>30</v>
      </c>
      <c r="D121" t="str">
        <f>"""Mission ERP"",""GBRA"",""15"",""1"",""42171"""</f>
        <v>"Mission ERP","GBRA","15","1","42171"</v>
      </c>
      <c r="E121" t="str">
        <f>"42171"</f>
        <v>42171</v>
      </c>
      <c r="F121" t="str">
        <f>"CANAL-RW, UNDINE"</f>
        <v>CANAL-RW, UNDINE</v>
      </c>
      <c r="I121" s="8">
        <v>26067</v>
      </c>
      <c r="J121" s="8"/>
      <c r="K121" s="8">
        <v>32599</v>
      </c>
      <c r="L121" s="8"/>
      <c r="M121" s="8">
        <f t="shared" si="16"/>
        <v>6532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>
      <c r="A122" t="s">
        <v>26</v>
      </c>
      <c r="B122" t="str">
        <f t="shared" si="15"/>
        <v>SHOW</v>
      </c>
      <c r="C122" t="s">
        <v>30</v>
      </c>
      <c r="D122" t="str">
        <f>"""Mission ERP"",""GBRA"",""15"",""1"",""42172"""</f>
        <v>"Mission ERP","GBRA","15","1","42172"</v>
      </c>
      <c r="E122" t="str">
        <f>"42172"</f>
        <v>42172</v>
      </c>
      <c r="F122" t="str">
        <f>"CANAL-DOW/CARBIDE"</f>
        <v>CANAL-DOW/CARBIDE</v>
      </c>
      <c r="I122" s="8">
        <v>1136228</v>
      </c>
      <c r="J122" s="8"/>
      <c r="K122" s="8">
        <v>1673501</v>
      </c>
      <c r="L122" s="8"/>
      <c r="M122" s="8">
        <f t="shared" si="16"/>
        <v>537273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>
      <c r="A123" t="s">
        <v>26</v>
      </c>
      <c r="B123" t="str">
        <f t="shared" si="15"/>
        <v>SHOW</v>
      </c>
      <c r="C123" t="s">
        <v>30</v>
      </c>
      <c r="D123" t="str">
        <f>"""Mission ERP"",""GBRA"",""15"",""1"",""42173"""</f>
        <v>"Mission ERP","GBRA","15","1","42173"</v>
      </c>
      <c r="E123" t="str">
        <f>"42173"</f>
        <v>42173</v>
      </c>
      <c r="F123" t="str">
        <f>"CANAL-INEOS"</f>
        <v>CANAL-INEOS</v>
      </c>
      <c r="I123" s="8">
        <v>418621</v>
      </c>
      <c r="J123" s="8"/>
      <c r="K123" s="8">
        <v>552668</v>
      </c>
      <c r="L123" s="8"/>
      <c r="M123" s="8">
        <f t="shared" si="16"/>
        <v>134047</v>
      </c>
      <c r="P123">
        <f t="shared" si="17"/>
        <v>1</v>
      </c>
      <c r="Q123">
        <f t="shared" si="18"/>
        <v>1</v>
      </c>
      <c r="R123">
        <f t="shared" si="19"/>
        <v>2</v>
      </c>
    </row>
    <row r="124" spans="1:18" hidden="1">
      <c r="A124" t="s">
        <v>26</v>
      </c>
      <c r="B124" t="str">
        <f t="shared" si="15"/>
        <v>HIDE</v>
      </c>
      <c r="C124" t="s">
        <v>30</v>
      </c>
      <c r="D124" t="str">
        <f>"""Mission ERP"",""GBRA"",""15"",""1"",""42174"""</f>
        <v>"Mission ERP","GBRA","15","1","42174"</v>
      </c>
      <c r="E124" t="str">
        <f>"42174"</f>
        <v>42174</v>
      </c>
      <c r="F124" t="str">
        <f>"CANAL-SPRINKLER IRRIGATION"</f>
        <v>CANAL-SPRINKLER IRRIGATION</v>
      </c>
      <c r="I124" s="8">
        <v>0</v>
      </c>
      <c r="J124" s="8"/>
      <c r="K124" s="8">
        <v>0</v>
      </c>
      <c r="L124" s="8"/>
      <c r="M124" s="8">
        <f t="shared" si="16"/>
        <v>0</v>
      </c>
      <c r="P124">
        <f t="shared" si="17"/>
        <v>0</v>
      </c>
      <c r="Q124">
        <f t="shared" si="18"/>
        <v>0</v>
      </c>
      <c r="R124">
        <f t="shared" si="19"/>
        <v>0</v>
      </c>
    </row>
    <row r="125" spans="1:18">
      <c r="A125" t="s">
        <v>26</v>
      </c>
      <c r="B125" t="str">
        <f t="shared" si="15"/>
        <v>SHOW</v>
      </c>
      <c r="C125" t="s">
        <v>30</v>
      </c>
      <c r="D125" t="str">
        <f>"""Mission ERP"",""GBRA"",""15"",""1"",""42175"""</f>
        <v>"Mission ERP","GBRA","15","1","42175"</v>
      </c>
      <c r="E125" t="str">
        <f>"42175"</f>
        <v>42175</v>
      </c>
      <c r="F125" t="str">
        <f>"CANAL-SEADRIFT COKE"</f>
        <v>CANAL-SEADRIFT COKE</v>
      </c>
      <c r="I125" s="8">
        <v>37150</v>
      </c>
      <c r="J125" s="8"/>
      <c r="K125" s="8">
        <v>48934</v>
      </c>
      <c r="L125" s="8"/>
      <c r="M125" s="8">
        <f t="shared" si="16"/>
        <v>11784</v>
      </c>
      <c r="P125">
        <f t="shared" si="17"/>
        <v>1</v>
      </c>
      <c r="Q125">
        <f t="shared" si="18"/>
        <v>1</v>
      </c>
      <c r="R125">
        <f t="shared" si="19"/>
        <v>2</v>
      </c>
    </row>
    <row r="126" spans="1:18" hidden="1">
      <c r="A126" t="s">
        <v>26</v>
      </c>
      <c r="B126" t="str">
        <f t="shared" si="15"/>
        <v>HIDE</v>
      </c>
      <c r="C126" t="s">
        <v>30</v>
      </c>
      <c r="D126" t="str">
        <f>"""Mission ERP"",""GBRA"",""15"",""1"",""42176"""</f>
        <v>"Mission ERP","GBRA","15","1","42176"</v>
      </c>
      <c r="E126" t="str">
        <f>"42176"</f>
        <v>42176</v>
      </c>
      <c r="F126" t="str">
        <f>"CANAL-CRAWFISH FARM"</f>
        <v>CANAL-CRAWFISH FARM</v>
      </c>
      <c r="I126" s="8">
        <v>0</v>
      </c>
      <c r="J126" s="8"/>
      <c r="K126" s="8">
        <v>0</v>
      </c>
      <c r="L126" s="8"/>
      <c r="M126" s="8">
        <f t="shared" si="16"/>
        <v>0</v>
      </c>
      <c r="P126">
        <f t="shared" si="17"/>
        <v>0</v>
      </c>
      <c r="Q126">
        <f t="shared" si="18"/>
        <v>0</v>
      </c>
      <c r="R126">
        <f t="shared" si="19"/>
        <v>0</v>
      </c>
    </row>
    <row r="127" spans="1:18" hidden="1">
      <c r="A127" t="s">
        <v>26</v>
      </c>
      <c r="B127" t="str">
        <f t="shared" si="15"/>
        <v>HIDE</v>
      </c>
      <c r="C127" t="s">
        <v>30</v>
      </c>
      <c r="D127" t="str">
        <f>"""Mission ERP"",""GBRA"",""15"",""1"",""42177"""</f>
        <v>"Mission ERP","GBRA","15","1","42177"</v>
      </c>
      <c r="E127" t="str">
        <f>"42177"</f>
        <v>42177</v>
      </c>
      <c r="F127" t="str">
        <f>"CANAL-PONDS &amp; RIGS"</f>
        <v>CANAL-PONDS &amp; RIGS</v>
      </c>
      <c r="I127" s="8">
        <v>0</v>
      </c>
      <c r="J127" s="8"/>
      <c r="K127" s="8">
        <v>0</v>
      </c>
      <c r="L127" s="8"/>
      <c r="M127" s="8">
        <f t="shared" si="16"/>
        <v>0</v>
      </c>
      <c r="P127">
        <f t="shared" si="17"/>
        <v>0</v>
      </c>
      <c r="Q127">
        <f t="shared" si="18"/>
        <v>0</v>
      </c>
      <c r="R127">
        <f t="shared" si="19"/>
        <v>0</v>
      </c>
    </row>
    <row r="128" spans="1:18" hidden="1">
      <c r="A128" t="s">
        <v>26</v>
      </c>
      <c r="B128" t="str">
        <f t="shared" si="15"/>
        <v>HIDE</v>
      </c>
      <c r="C128" t="s">
        <v>30</v>
      </c>
      <c r="D128" t="str">
        <f>"""Mission ERP"",""GBRA"",""15"",""1"",""42178"""</f>
        <v>"Mission ERP","GBRA","15","1","42178"</v>
      </c>
      <c r="E128" t="str">
        <f>"42178"</f>
        <v>42178</v>
      </c>
      <c r="F128" t="str">
        <f>"CANAL-WATERFOWL"</f>
        <v>CANAL-WATERFOWL</v>
      </c>
      <c r="I128" s="8">
        <v>0</v>
      </c>
      <c r="J128" s="8"/>
      <c r="K128" s="8">
        <v>0</v>
      </c>
      <c r="L128" s="8"/>
      <c r="M128" s="8">
        <f t="shared" si="16"/>
        <v>0</v>
      </c>
      <c r="P128">
        <f t="shared" si="17"/>
        <v>0</v>
      </c>
      <c r="Q128">
        <f t="shared" si="18"/>
        <v>0</v>
      </c>
      <c r="R128">
        <f t="shared" si="19"/>
        <v>0</v>
      </c>
    </row>
    <row r="129" spans="1:18">
      <c r="A129" t="s">
        <v>26</v>
      </c>
      <c r="B129" t="str">
        <f t="shared" si="15"/>
        <v>SHOW</v>
      </c>
      <c r="C129" t="s">
        <v>30</v>
      </c>
      <c r="D129" t="str">
        <f>"""Mission ERP"",""GBRA"",""15"",""1"",""42179"""</f>
        <v>"Mission ERP","GBRA","15","1","42179"</v>
      </c>
      <c r="E129" t="str">
        <f>"42179"</f>
        <v>42179</v>
      </c>
      <c r="F129" t="str">
        <f>"CANAL-POC IDC"</f>
        <v>CANAL-POC IDC</v>
      </c>
      <c r="I129" s="8">
        <v>31268</v>
      </c>
      <c r="J129" s="8"/>
      <c r="K129" s="8">
        <v>0</v>
      </c>
      <c r="L129" s="8"/>
      <c r="M129" s="8">
        <f t="shared" si="16"/>
        <v>-31268</v>
      </c>
      <c r="P129">
        <f t="shared" si="17"/>
        <v>1</v>
      </c>
      <c r="Q129">
        <f t="shared" si="18"/>
        <v>0</v>
      </c>
      <c r="R129">
        <f t="shared" si="19"/>
        <v>1</v>
      </c>
    </row>
    <row r="130" spans="1:18" hidden="1">
      <c r="A130" t="s">
        <v>26</v>
      </c>
      <c r="B130" t="str">
        <f t="shared" si="15"/>
        <v>HIDE</v>
      </c>
      <c r="C130" t="s">
        <v>30</v>
      </c>
      <c r="D130" t="str">
        <f>"""Mission ERP"",""GBRA"",""15"",""1"",""42180"""</f>
        <v>"Mission ERP","GBRA","15","1","42180"</v>
      </c>
      <c r="E130" t="str">
        <f>"42180"</f>
        <v>42180</v>
      </c>
      <c r="F130" t="str">
        <f>"CANAL-CATFISH FARM"</f>
        <v>CANAL-CATFISH FARM</v>
      </c>
      <c r="I130" s="8">
        <v>0</v>
      </c>
      <c r="J130" s="8"/>
      <c r="K130" s="8">
        <v>0</v>
      </c>
      <c r="L130" s="8"/>
      <c r="M130" s="8">
        <f t="shared" si="16"/>
        <v>0</v>
      </c>
      <c r="P130">
        <f t="shared" si="17"/>
        <v>0</v>
      </c>
      <c r="Q130">
        <f t="shared" si="18"/>
        <v>0</v>
      </c>
      <c r="R130">
        <f t="shared" si="19"/>
        <v>0</v>
      </c>
    </row>
    <row r="131" spans="1:18" hidden="1">
      <c r="A131" t="s">
        <v>26</v>
      </c>
      <c r="B131" t="str">
        <f t="shared" si="15"/>
        <v>HIDE</v>
      </c>
      <c r="C131" t="s">
        <v>30</v>
      </c>
      <c r="D131" t="str">
        <f>"""Mission ERP"",""GBRA"",""15"",""1"",""42181"""</f>
        <v>"Mission ERP","GBRA","15","1","42181"</v>
      </c>
      <c r="E131" t="str">
        <f>"42181"</f>
        <v>42181</v>
      </c>
      <c r="F131" t="str">
        <f>"CANAL-OTHER"</f>
        <v>CANAL-OTHER</v>
      </c>
      <c r="I131" s="8">
        <v>0</v>
      </c>
      <c r="J131" s="8"/>
      <c r="K131" s="8">
        <v>0</v>
      </c>
      <c r="L131" s="8"/>
      <c r="M131" s="8">
        <f t="shared" si="16"/>
        <v>0</v>
      </c>
      <c r="P131">
        <f t="shared" si="17"/>
        <v>0</v>
      </c>
      <c r="Q131">
        <f t="shared" si="18"/>
        <v>0</v>
      </c>
      <c r="R131">
        <f t="shared" si="19"/>
        <v>0</v>
      </c>
    </row>
    <row r="132" spans="1:18" hidden="1">
      <c r="A132" t="s">
        <v>26</v>
      </c>
      <c r="B132" t="str">
        <f t="shared" si="15"/>
        <v>HIDE</v>
      </c>
      <c r="C132" t="s">
        <v>30</v>
      </c>
      <c r="D132" t="str">
        <f>"""Mission ERP"",""GBRA"",""15"",""1"",""42182"""</f>
        <v>"Mission ERP","GBRA","15","1","42182"</v>
      </c>
      <c r="E132" t="str">
        <f>"42182"</f>
        <v>42182</v>
      </c>
      <c r="F132" t="str">
        <f>"CANAL-RICE CROPS"</f>
        <v>CANAL-RICE CROPS</v>
      </c>
      <c r="I132" s="8">
        <v>0</v>
      </c>
      <c r="J132" s="8"/>
      <c r="K132" s="8">
        <v>0</v>
      </c>
      <c r="L132" s="8"/>
      <c r="M132" s="8">
        <f t="shared" si="16"/>
        <v>0</v>
      </c>
      <c r="P132">
        <f t="shared" si="17"/>
        <v>0</v>
      </c>
      <c r="Q132">
        <f t="shared" si="18"/>
        <v>0</v>
      </c>
      <c r="R132">
        <f t="shared" si="19"/>
        <v>0</v>
      </c>
    </row>
    <row r="133" spans="1:18" hidden="1">
      <c r="A133" t="s">
        <v>26</v>
      </c>
      <c r="B133" t="str">
        <f t="shared" ref="B133:B134" si="20">IF(R133=0,"HIDE","SHOW")</f>
        <v>HIDE</v>
      </c>
      <c r="C133" t="s">
        <v>30</v>
      </c>
      <c r="D133" t="str">
        <f>"""Mission ERP"",""GBRA"",""15"",""1"",""42185"""</f>
        <v>"Mission ERP","GBRA","15","1","42185"</v>
      </c>
      <c r="E133" t="str">
        <f>"42185"</f>
        <v>42185</v>
      </c>
      <c r="F133" t="str">
        <f>"LWR BASIN-PORT O'CONNOR"</f>
        <v>LWR BASIN-PORT O'CONNOR</v>
      </c>
      <c r="I133" s="8">
        <v>0</v>
      </c>
      <c r="J133" s="8"/>
      <c r="K133" s="8">
        <v>0</v>
      </c>
      <c r="L133" s="8"/>
      <c r="M133" s="8">
        <f t="shared" ref="M133:M134" si="21">K133-I133</f>
        <v>0</v>
      </c>
      <c r="P133">
        <f t="shared" ref="P133:P134" si="22">IF(I133=0,0,1)</f>
        <v>0</v>
      </c>
      <c r="Q133">
        <f t="shared" ref="Q133:Q134" si="23">IF(K133=0,0,1)</f>
        <v>0</v>
      </c>
      <c r="R133">
        <f t="shared" ref="R133:R134" si="24">P133+Q133</f>
        <v>0</v>
      </c>
    </row>
    <row r="134" spans="1:18" hidden="1">
      <c r="A134" t="s">
        <v>26</v>
      </c>
      <c r="B134" t="str">
        <f t="shared" si="20"/>
        <v>HIDE</v>
      </c>
      <c r="C134" t="s">
        <v>30</v>
      </c>
      <c r="D134" t="str">
        <f>"""Mission ERP"",""GBRA"",""15"",""1"",""42186"""</f>
        <v>"Mission ERP","GBRA","15","1","42186"</v>
      </c>
      <c r="E134" t="str">
        <f>"42186"</f>
        <v>42186</v>
      </c>
      <c r="F134" t="str">
        <f>"LWR BASIN-HYFUELS GREEN LAKE LLC"</f>
        <v>LWR BASIN-HYFUELS GREEN LAKE LLC</v>
      </c>
      <c r="I134" s="8">
        <v>0</v>
      </c>
      <c r="J134" s="8"/>
      <c r="K134" s="8">
        <v>0</v>
      </c>
      <c r="L134" s="8"/>
      <c r="M134" s="8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hidden="1">
      <c r="B135" t="s">
        <v>16</v>
      </c>
      <c r="I135" s="9"/>
      <c r="J135" s="8"/>
      <c r="K135" s="9"/>
      <c r="L135" s="8"/>
      <c r="M135" s="9"/>
    </row>
    <row r="136" spans="1:18">
      <c r="B136" t="str">
        <f>IF(R136=0,"HIDE","SHOW")</f>
        <v>SHOW</v>
      </c>
      <c r="F136" s="3" t="str">
        <f>CONCATENATE("Total ",F67)</f>
        <v>Total Wholesale Raw Water Sales</v>
      </c>
      <c r="I136" s="10">
        <f>SUM(I68:I135)</f>
        <v>22218320</v>
      </c>
      <c r="J136" s="11"/>
      <c r="K136" s="10">
        <f>SUM(K68:K135)</f>
        <v>24299497</v>
      </c>
      <c r="L136" s="11"/>
      <c r="M136" s="10">
        <f>K136-I136</f>
        <v>2081177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>
      <c r="B137" t="str">
        <f>B136</f>
        <v>SHOW</v>
      </c>
      <c r="I137" s="8"/>
      <c r="J137" s="8"/>
      <c r="K137" s="8"/>
      <c r="L137" s="8"/>
      <c r="M137" s="8"/>
    </row>
    <row r="138" spans="1:18">
      <c r="B138" t="str">
        <f>B148</f>
        <v>SHOW</v>
      </c>
      <c r="C138">
        <v>42200</v>
      </c>
      <c r="F138" s="3" t="str">
        <f>"Wholesale Water Treatment"</f>
        <v>Wholesale Water Treatment</v>
      </c>
      <c r="I138" s="8"/>
      <c r="J138" s="8"/>
      <c r="K138" s="8"/>
      <c r="L138" s="8"/>
      <c r="M138" s="8"/>
    </row>
    <row r="139" spans="1:18">
      <c r="B139" t="str">
        <f>IF(R139=0,"HIDE","SHOW")</f>
        <v>SHOW</v>
      </c>
      <c r="C139" t="s">
        <v>31</v>
      </c>
      <c r="D139" t="str">
        <f>"""Mission ERP"",""GBRA"",""15"",""1"",""42201"""</f>
        <v>"Mission ERP","GBRA","15","1","42201"</v>
      </c>
      <c r="E139" t="str">
        <f>"42201"</f>
        <v>42201</v>
      </c>
      <c r="F139" t="str">
        <f>"ANNUAL SERVICE FEE INCOME"</f>
        <v>ANNUAL SERVICE FEE INCOME</v>
      </c>
      <c r="I139" s="8">
        <v>1283166</v>
      </c>
      <c r="J139" s="8"/>
      <c r="K139" s="8">
        <v>1336800</v>
      </c>
      <c r="L139" s="8"/>
      <c r="M139" s="8">
        <f>K139-I139</f>
        <v>53634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hidden="1">
      <c r="A140" t="s">
        <v>26</v>
      </c>
      <c r="B140" t="str">
        <f t="shared" ref="B140:B146" si="25">IF(R140=0,"HIDE","SHOW")</f>
        <v>HIDE</v>
      </c>
      <c r="C140" t="s">
        <v>31</v>
      </c>
      <c r="D140" t="str">
        <f>"""Mission ERP"",""GBRA"",""15"",""1"",""42202"""</f>
        <v>"Mission ERP","GBRA","15","1","42202"</v>
      </c>
      <c r="E140" t="str">
        <f>"42202"</f>
        <v>42202</v>
      </c>
      <c r="F140" t="str">
        <f>"SMWTP CHARGES-MASTER METER CREDIT"</f>
        <v>SMWTP CHARGES-MASTER METER CREDIT</v>
      </c>
      <c r="I140" s="8">
        <v>0</v>
      </c>
      <c r="J140" s="8"/>
      <c r="K140" s="8">
        <v>0</v>
      </c>
      <c r="L140" s="8"/>
      <c r="M140" s="8">
        <f t="shared" ref="M140:M146" si="26">K140-I140</f>
        <v>0</v>
      </c>
      <c r="P140">
        <f t="shared" ref="P140:P146" si="27">IF(I140=0,0,1)</f>
        <v>0</v>
      </c>
      <c r="Q140">
        <f t="shared" ref="Q140:Q146" si="28">IF(K140=0,0,1)</f>
        <v>0</v>
      </c>
      <c r="R140">
        <f t="shared" ref="R140:R146" si="29">P140+Q140</f>
        <v>0</v>
      </c>
    </row>
    <row r="141" spans="1:18" hidden="1">
      <c r="A141" t="s">
        <v>26</v>
      </c>
      <c r="B141" t="str">
        <f t="shared" si="25"/>
        <v>HIDE</v>
      </c>
      <c r="C141" t="s">
        <v>31</v>
      </c>
      <c r="D141" t="str">
        <f>"""Mission ERP"",""GBRA"",""15"",""1"",""42203"""</f>
        <v>"Mission ERP","GBRA","15","1","42203"</v>
      </c>
      <c r="E141" t="str">
        <f>"42203"</f>
        <v>42203</v>
      </c>
      <c r="F141" t="str">
        <f>"SMWTP CHARGES-BUDA"</f>
        <v>SMWTP CHARGES-BUDA</v>
      </c>
      <c r="I141" s="8">
        <v>0</v>
      </c>
      <c r="J141" s="8"/>
      <c r="K141" s="8">
        <v>0</v>
      </c>
      <c r="L141" s="8"/>
      <c r="M141" s="8">
        <f t="shared" si="26"/>
        <v>0</v>
      </c>
      <c r="P141">
        <f t="shared" si="27"/>
        <v>0</v>
      </c>
      <c r="Q141">
        <f t="shared" si="28"/>
        <v>0</v>
      </c>
      <c r="R141">
        <f t="shared" si="29"/>
        <v>0</v>
      </c>
    </row>
    <row r="142" spans="1:18" hidden="1">
      <c r="A142" t="s">
        <v>26</v>
      </c>
      <c r="B142" t="str">
        <f t="shared" si="25"/>
        <v>HIDE</v>
      </c>
      <c r="C142" t="s">
        <v>31</v>
      </c>
      <c r="D142" t="str">
        <f>"""Mission ERP"",""GBRA"",""15"",""1"",""42204"""</f>
        <v>"Mission ERP","GBRA","15","1","42204"</v>
      </c>
      <c r="E142" t="str">
        <f>"42204"</f>
        <v>42204</v>
      </c>
      <c r="F142" t="str">
        <f>"SMWTP CHARGES-GOFORTH"</f>
        <v>SMWTP CHARGES-GOFORTH</v>
      </c>
      <c r="I142" s="8">
        <v>0</v>
      </c>
      <c r="J142" s="8"/>
      <c r="K142" s="8">
        <v>0</v>
      </c>
      <c r="L142" s="8"/>
      <c r="M142" s="8">
        <f t="shared" si="26"/>
        <v>0</v>
      </c>
      <c r="P142">
        <f t="shared" si="27"/>
        <v>0</v>
      </c>
      <c r="Q142">
        <f t="shared" si="28"/>
        <v>0</v>
      </c>
      <c r="R142">
        <f t="shared" si="29"/>
        <v>0</v>
      </c>
    </row>
    <row r="143" spans="1:18" hidden="1">
      <c r="A143" t="s">
        <v>26</v>
      </c>
      <c r="B143" t="str">
        <f t="shared" si="25"/>
        <v>HIDE</v>
      </c>
      <c r="C143" t="s">
        <v>31</v>
      </c>
      <c r="D143" t="str">
        <f>"""Mission ERP"",""GBRA"",""15"",""1"",""42205"""</f>
        <v>"Mission ERP","GBRA","15","1","42205"</v>
      </c>
      <c r="E143" t="str">
        <f>"42205"</f>
        <v>42205</v>
      </c>
      <c r="F143" t="str">
        <f>"SMWTP CHARGES-KYLE"</f>
        <v>SMWTP CHARGES-KYLE</v>
      </c>
      <c r="I143" s="8">
        <v>0</v>
      </c>
      <c r="J143" s="8"/>
      <c r="K143" s="8">
        <v>0</v>
      </c>
      <c r="L143" s="8"/>
      <c r="M143" s="8">
        <f t="shared" si="26"/>
        <v>0</v>
      </c>
      <c r="P143">
        <f t="shared" si="27"/>
        <v>0</v>
      </c>
      <c r="Q143">
        <f t="shared" si="28"/>
        <v>0</v>
      </c>
      <c r="R143">
        <f t="shared" si="29"/>
        <v>0</v>
      </c>
    </row>
    <row r="144" spans="1:18" hidden="1">
      <c r="A144" t="s">
        <v>26</v>
      </c>
      <c r="B144" t="str">
        <f t="shared" si="25"/>
        <v>HIDE</v>
      </c>
      <c r="C144" t="s">
        <v>31</v>
      </c>
      <c r="D144" t="str">
        <f>"""Mission ERP"",""GBRA"",""15"",""1"",""42206"""</f>
        <v>"Mission ERP","GBRA","15","1","42206"</v>
      </c>
      <c r="E144" t="str">
        <f>"42206"</f>
        <v>42206</v>
      </c>
      <c r="F144" t="str">
        <f>"SMWTP CHARGES-MONARCH"</f>
        <v>SMWTP CHARGES-MONARCH</v>
      </c>
      <c r="I144" s="8">
        <v>0</v>
      </c>
      <c r="J144" s="8"/>
      <c r="K144" s="8">
        <v>0</v>
      </c>
      <c r="L144" s="8"/>
      <c r="M144" s="8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>
      <c r="A145" t="s">
        <v>26</v>
      </c>
      <c r="B145" t="str">
        <f t="shared" si="25"/>
        <v>HIDE</v>
      </c>
      <c r="C145" t="s">
        <v>31</v>
      </c>
      <c r="D145" t="str">
        <f>"""Mission ERP"",""GBRA"",""15"",""1"",""42207"""</f>
        <v>"Mission ERP","GBRA","15","1","42207"</v>
      </c>
      <c r="E145" t="str">
        <f>"42207"</f>
        <v>42207</v>
      </c>
      <c r="F145" t="str">
        <f>"SMWTP CHARGES-SUNFIELD"</f>
        <v>SMWTP CHARGES-SUNFIELD</v>
      </c>
      <c r="I145" s="8">
        <v>0</v>
      </c>
      <c r="J145" s="8"/>
      <c r="K145" s="8">
        <v>0</v>
      </c>
      <c r="L145" s="8"/>
      <c r="M145" s="8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>
      <c r="A146" t="s">
        <v>26</v>
      </c>
      <c r="B146" t="str">
        <f t="shared" si="25"/>
        <v>SHOW</v>
      </c>
      <c r="C146" t="s">
        <v>31</v>
      </c>
      <c r="D146" t="str">
        <f>"""Mission ERP"",""GBRA"",""15"",""1"",""42230"""</f>
        <v>"Mission ERP","GBRA","15","1","42230"</v>
      </c>
      <c r="E146" t="str">
        <f>"42230"</f>
        <v>42230</v>
      </c>
      <c r="F146" t="str">
        <f>"WCANYON WTP O&amp;M"</f>
        <v>WCANYON WTP O&amp;M</v>
      </c>
      <c r="I146" s="8">
        <v>5570529</v>
      </c>
      <c r="J146" s="8"/>
      <c r="K146" s="8">
        <v>7221401</v>
      </c>
      <c r="L146" s="8"/>
      <c r="M146" s="8">
        <f t="shared" si="26"/>
        <v>1650872</v>
      </c>
      <c r="P146">
        <f t="shared" si="27"/>
        <v>1</v>
      </c>
      <c r="Q146">
        <f t="shared" si="28"/>
        <v>1</v>
      </c>
      <c r="R146">
        <f t="shared" si="29"/>
        <v>2</v>
      </c>
    </row>
    <row r="147" spans="1:18" hidden="1">
      <c r="B147" t="s">
        <v>16</v>
      </c>
      <c r="I147" s="9"/>
      <c r="J147" s="8"/>
      <c r="K147" s="9"/>
      <c r="L147" s="8"/>
      <c r="M147" s="9"/>
    </row>
    <row r="148" spans="1:18">
      <c r="B148" t="str">
        <f>IF(R148=0,"HIDE","SHOW")</f>
        <v>SHOW</v>
      </c>
      <c r="F148" s="3" t="str">
        <f>CONCATENATE("Total ",F138)</f>
        <v>Total Wholesale Water Treatment</v>
      </c>
      <c r="I148" s="10">
        <f>SUM(I139:I147)</f>
        <v>6853695</v>
      </c>
      <c r="J148" s="11"/>
      <c r="K148" s="10">
        <f>SUM(K139:K147)</f>
        <v>8558201</v>
      </c>
      <c r="L148" s="11"/>
      <c r="M148" s="10">
        <f>K148-I148</f>
        <v>1704506</v>
      </c>
      <c r="P148">
        <f>IF(I148=0,0,1)</f>
        <v>1</v>
      </c>
      <c r="Q148">
        <f>IF(K148=0,0,1)</f>
        <v>1</v>
      </c>
      <c r="R148">
        <f>P148+Q148</f>
        <v>2</v>
      </c>
    </row>
    <row r="149" spans="1:18">
      <c r="B149" t="str">
        <f>B148</f>
        <v>SHOW</v>
      </c>
      <c r="I149" s="8"/>
      <c r="J149" s="8"/>
      <c r="K149" s="8"/>
      <c r="L149" s="8"/>
      <c r="M149" s="8"/>
    </row>
    <row r="150" spans="1:18">
      <c r="B150" t="str">
        <f>B158</f>
        <v>SHOW</v>
      </c>
      <c r="C150">
        <v>42300</v>
      </c>
      <c r="F150" s="3" t="str">
        <f>"Retail Water Sales"</f>
        <v>Retail Water Sales</v>
      </c>
      <c r="I150" s="8"/>
      <c r="J150" s="8"/>
      <c r="K150" s="8"/>
      <c r="L150" s="8"/>
      <c r="M150" s="8"/>
    </row>
    <row r="151" spans="1:18">
      <c r="B151" t="str">
        <f>IF(R151=0,"HIDE","SHOW")</f>
        <v>SHOW</v>
      </c>
      <c r="C151" t="s">
        <v>32</v>
      </c>
      <c r="D151" t="str">
        <f>"""Mission ERP"",""GBRA"",""15"",""1"",""42301"""</f>
        <v>"Mission ERP","GBRA","15","1","42301"</v>
      </c>
      <c r="E151" t="str">
        <f>"42301"</f>
        <v>42301</v>
      </c>
      <c r="F151" t="str">
        <f>"WATER SALES"</f>
        <v>WATER SALES</v>
      </c>
      <c r="I151" s="8">
        <v>3540000</v>
      </c>
      <c r="J151" s="8"/>
      <c r="K151" s="8">
        <v>3150000</v>
      </c>
      <c r="L151" s="8"/>
      <c r="M151" s="8">
        <f>K151-I151</f>
        <v>-390000</v>
      </c>
      <c r="P151">
        <f>IF(I151=0,0,1)</f>
        <v>1</v>
      </c>
      <c r="Q151">
        <f>IF(K151=0,0,1)</f>
        <v>1</v>
      </c>
      <c r="R151">
        <f>P151+Q151</f>
        <v>2</v>
      </c>
    </row>
    <row r="152" spans="1:18" hidden="1">
      <c r="A152" t="s">
        <v>26</v>
      </c>
      <c r="B152" t="str">
        <f t="shared" ref="B152:B156" si="30">IF(R152=0,"HIDE","SHOW")</f>
        <v>HIDE</v>
      </c>
      <c r="C152" t="s">
        <v>32</v>
      </c>
      <c r="D152" t="str">
        <f>"""Mission ERP"",""GBRA"",""15"",""1"",""42302"""</f>
        <v>"Mission ERP","GBRA","15","1","42302"</v>
      </c>
      <c r="E152" t="str">
        <f>"42302"</f>
        <v>42302</v>
      </c>
      <c r="F152" t="str">
        <f>"WHOLESALE WATER SALES"</f>
        <v>WHOLESALE WATER SALES</v>
      </c>
      <c r="I152" s="8">
        <v>0</v>
      </c>
      <c r="J152" s="8"/>
      <c r="K152" s="8">
        <v>0</v>
      </c>
      <c r="L152" s="8"/>
      <c r="M152" s="8">
        <f t="shared" ref="M152:M156" si="31">K152-I152</f>
        <v>0</v>
      </c>
      <c r="P152">
        <f t="shared" ref="P152:P156" si="32">IF(I152=0,0,1)</f>
        <v>0</v>
      </c>
      <c r="Q152">
        <f t="shared" ref="Q152:Q156" si="33">IF(K152=0,0,1)</f>
        <v>0</v>
      </c>
      <c r="R152">
        <f t="shared" ref="R152:R156" si="34">P152+Q152</f>
        <v>0</v>
      </c>
    </row>
    <row r="153" spans="1:18">
      <c r="A153" t="s">
        <v>26</v>
      </c>
      <c r="B153" t="str">
        <f t="shared" si="30"/>
        <v>SHOW</v>
      </c>
      <c r="C153" t="s">
        <v>32</v>
      </c>
      <c r="D153" t="str">
        <f>"""Mission ERP"",""GBRA"",""15"",""1"",""42310"""</f>
        <v>"Mission ERP","GBRA","15","1","42310"</v>
      </c>
      <c r="E153" t="str">
        <f>"42310"</f>
        <v>42310</v>
      </c>
      <c r="F153" t="str">
        <f>"WATER CONNECTION FEES"</f>
        <v>WATER CONNECTION FEES</v>
      </c>
      <c r="I153" s="8">
        <v>77250</v>
      </c>
      <c r="J153" s="8"/>
      <c r="K153" s="8">
        <v>77250</v>
      </c>
      <c r="L153" s="8"/>
      <c r="M153" s="8">
        <f t="shared" si="31"/>
        <v>0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hidden="1">
      <c r="A154" t="s">
        <v>26</v>
      </c>
      <c r="B154" t="str">
        <f t="shared" si="30"/>
        <v>HIDE</v>
      </c>
      <c r="C154" t="s">
        <v>32</v>
      </c>
      <c r="D154" t="str">
        <f>"""Mission ERP"",""GBRA"",""15"",""1"",""42320"""</f>
        <v>"Mission ERP","GBRA","15","1","42320"</v>
      </c>
      <c r="E154" t="str">
        <f>"42320"</f>
        <v>42320</v>
      </c>
      <c r="F154" t="str">
        <f>"WATER CAPITAL CONTRIBUTION FEES"</f>
        <v>WATER CAPITAL CONTRIBUTION FEES</v>
      </c>
      <c r="I154" s="8">
        <v>0</v>
      </c>
      <c r="J154" s="8"/>
      <c r="K154" s="8">
        <v>0</v>
      </c>
      <c r="L154" s="8"/>
      <c r="M154" s="8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</row>
    <row r="155" spans="1:18">
      <c r="A155" t="s">
        <v>26</v>
      </c>
      <c r="B155" t="str">
        <f t="shared" si="30"/>
        <v>SHOW</v>
      </c>
      <c r="C155" t="s">
        <v>32</v>
      </c>
      <c r="D155" t="str">
        <f>"""Mission ERP"",""GBRA"",""15"",""1"",""42340"""</f>
        <v>"Mission ERP","GBRA","15","1","42340"</v>
      </c>
      <c r="E155" t="str">
        <f>"42340"</f>
        <v>42340</v>
      </c>
      <c r="F155" t="str">
        <f>"TRANSFER FEES"</f>
        <v>TRANSFER FEES</v>
      </c>
      <c r="I155" s="8">
        <v>5500</v>
      </c>
      <c r="J155" s="8"/>
      <c r="K155" s="8">
        <v>5500</v>
      </c>
      <c r="L155" s="8"/>
      <c r="M155" s="8">
        <f t="shared" si="31"/>
        <v>0</v>
      </c>
      <c r="P155">
        <f t="shared" si="32"/>
        <v>1</v>
      </c>
      <c r="Q155">
        <f t="shared" si="33"/>
        <v>1</v>
      </c>
      <c r="R155">
        <f t="shared" si="34"/>
        <v>2</v>
      </c>
    </row>
    <row r="156" spans="1:18" hidden="1">
      <c r="A156" t="s">
        <v>26</v>
      </c>
      <c r="B156" t="str">
        <f t="shared" si="30"/>
        <v>HIDE</v>
      </c>
      <c r="C156" t="s">
        <v>32</v>
      </c>
      <c r="D156" t="str">
        <f>"""Mission ERP"",""GBRA"",""15"",""1"",""42350"""</f>
        <v>"Mission ERP","GBRA","15","1","42350"</v>
      </c>
      <c r="E156" t="str">
        <f>"42350"</f>
        <v>42350</v>
      </c>
      <c r="F156" t="str">
        <f>"CHARGES TO DEVELOPERS"</f>
        <v>CHARGES TO DEVELOPERS</v>
      </c>
      <c r="I156" s="8">
        <v>0</v>
      </c>
      <c r="J156" s="8"/>
      <c r="K156" s="8">
        <v>0</v>
      </c>
      <c r="L156" s="8"/>
      <c r="M156" s="8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</row>
    <row r="157" spans="1:18" hidden="1">
      <c r="B157" t="s">
        <v>16</v>
      </c>
      <c r="I157" s="9"/>
      <c r="J157" s="8"/>
      <c r="K157" s="9"/>
      <c r="L157" s="13"/>
      <c r="M157" s="13"/>
    </row>
    <row r="158" spans="1:18">
      <c r="B158" t="str">
        <f>IF(R158=0,"HIDE","SHOW")</f>
        <v>SHOW</v>
      </c>
      <c r="F158" s="3" t="str">
        <f>CONCATENATE("Total ",F150)</f>
        <v>Total Retail Water Sales</v>
      </c>
      <c r="I158" s="10">
        <f>SUM(I151:I157)</f>
        <v>3622750</v>
      </c>
      <c r="J158" s="11"/>
      <c r="K158" s="10">
        <f>SUM(K151:K157)</f>
        <v>3232750</v>
      </c>
      <c r="L158" s="12"/>
      <c r="M158" s="10">
        <f>K158-I158</f>
        <v>-390000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>
      <c r="B159" t="str">
        <f>B158</f>
        <v>SHOW</v>
      </c>
      <c r="I159" s="8"/>
      <c r="J159" s="8"/>
      <c r="K159" s="8"/>
      <c r="L159" s="8"/>
      <c r="M159" s="8"/>
    </row>
    <row r="160" spans="1:18">
      <c r="B160" t="str">
        <f>B170</f>
        <v>SHOW</v>
      </c>
      <c r="C160">
        <v>42400</v>
      </c>
      <c r="F160" s="3" t="str">
        <f>"Retail Wastewater"</f>
        <v>Retail Wastewater</v>
      </c>
      <c r="I160" s="8"/>
      <c r="J160" s="8"/>
      <c r="K160" s="8"/>
      <c r="L160" s="8"/>
      <c r="M160" s="8"/>
    </row>
    <row r="161" spans="1:18">
      <c r="B161" t="str">
        <f>IF(R161=0,"HIDE","SHOW")</f>
        <v>SHOW</v>
      </c>
      <c r="C161" t="s">
        <v>33</v>
      </c>
      <c r="D161" t="str">
        <f>"""Mission ERP"",""GBRA"",""15"",""1"",""42401"""</f>
        <v>"Mission ERP","GBRA","15","1","42401"</v>
      </c>
      <c r="E161" t="str">
        <f>"42401"</f>
        <v>42401</v>
      </c>
      <c r="F161" t="str">
        <f>"WASTEWATER SERVICES"</f>
        <v>WASTEWATER SERVICES</v>
      </c>
      <c r="I161" s="8">
        <v>10555945</v>
      </c>
      <c r="J161" s="8"/>
      <c r="K161" s="8">
        <v>12954765</v>
      </c>
      <c r="L161" s="8"/>
      <c r="M161" s="8">
        <f>K161-I161</f>
        <v>2398820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>
      <c r="A162" t="s">
        <v>26</v>
      </c>
      <c r="B162" t="str">
        <f t="shared" ref="B162:B168" si="35">IF(R162=0,"HIDE","SHOW")</f>
        <v>SHOW</v>
      </c>
      <c r="C162" t="s">
        <v>33</v>
      </c>
      <c r="D162" t="str">
        <f>"""Mission ERP"",""GBRA"",""15"",""1"",""42402"""</f>
        <v>"Mission ERP","GBRA","15","1","42402"</v>
      </c>
      <c r="E162" t="str">
        <f>"42402"</f>
        <v>42402</v>
      </c>
      <c r="F162" t="str">
        <f>"SEWER CONNECTION/INSP FEES"</f>
        <v>SEWER CONNECTION/INSP FEES</v>
      </c>
      <c r="I162" s="8">
        <v>1668700</v>
      </c>
      <c r="J162" s="8"/>
      <c r="K162" s="8">
        <v>2324900</v>
      </c>
      <c r="L162" s="8"/>
      <c r="M162" s="8">
        <f t="shared" ref="M162:M168" si="36">K162-I162</f>
        <v>656200</v>
      </c>
      <c r="P162">
        <f t="shared" ref="P162:P168" si="37">IF(I162=0,0,1)</f>
        <v>1</v>
      </c>
      <c r="Q162">
        <f t="shared" ref="Q162:Q168" si="38">IF(K162=0,0,1)</f>
        <v>1</v>
      </c>
      <c r="R162">
        <f t="shared" ref="R162:R168" si="39">P162+Q162</f>
        <v>2</v>
      </c>
    </row>
    <row r="163" spans="1:18" hidden="1">
      <c r="A163" t="s">
        <v>26</v>
      </c>
      <c r="B163" t="str">
        <f t="shared" si="35"/>
        <v>HIDE</v>
      </c>
      <c r="C163" t="s">
        <v>33</v>
      </c>
      <c r="D163" t="str">
        <f>"""Mission ERP"",""GBRA"",""15"",""1"",""42403"""</f>
        <v>"Mission ERP","GBRA","15","1","42403"</v>
      </c>
      <c r="E163" t="str">
        <f>"42403"</f>
        <v>42403</v>
      </c>
      <c r="F163" t="str">
        <f>"CONNECTION-ZIPP ROAD"</f>
        <v>CONNECTION-ZIPP ROAD</v>
      </c>
      <c r="I163" s="8">
        <v>0</v>
      </c>
      <c r="J163" s="8"/>
      <c r="K163" s="8">
        <v>0</v>
      </c>
      <c r="L163" s="8"/>
      <c r="M163" s="8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</row>
    <row r="164" spans="1:18">
      <c r="A164" t="s">
        <v>26</v>
      </c>
      <c r="B164" t="str">
        <f t="shared" si="35"/>
        <v>SHOW</v>
      </c>
      <c r="C164" t="s">
        <v>33</v>
      </c>
      <c r="D164" t="str">
        <f>"""Mission ERP"",""GBRA"",""15"",""1"",""42404"""</f>
        <v>"Mission ERP","GBRA","15","1","42404"</v>
      </c>
      <c r="E164" t="str">
        <f>"42404"</f>
        <v>42404</v>
      </c>
      <c r="F164" t="str">
        <f>"SERVICE CALL INCOME"</f>
        <v>SERVICE CALL INCOME</v>
      </c>
      <c r="I164" s="8">
        <v>20000</v>
      </c>
      <c r="J164" s="8"/>
      <c r="K164" s="8">
        <v>10000</v>
      </c>
      <c r="L164" s="8"/>
      <c r="M164" s="8">
        <f t="shared" si="36"/>
        <v>-10000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>
      <c r="A165" t="s">
        <v>26</v>
      </c>
      <c r="B165" t="str">
        <f t="shared" si="35"/>
        <v>SHOW</v>
      </c>
      <c r="C165" t="s">
        <v>33</v>
      </c>
      <c r="D165" t="str">
        <f>"""Mission ERP"",""GBRA"",""15"",""1"",""42405"""</f>
        <v>"Mission ERP","GBRA","15","1","42405"</v>
      </c>
      <c r="E165" t="str">
        <f>"42405"</f>
        <v>42405</v>
      </c>
      <c r="F165" t="str">
        <f>"TRANSFER FEES"</f>
        <v>TRANSFER FEES</v>
      </c>
      <c r="I165" s="8">
        <v>77400</v>
      </c>
      <c r="J165" s="8"/>
      <c r="K165" s="8">
        <v>98200</v>
      </c>
      <c r="L165" s="8"/>
      <c r="M165" s="8">
        <f t="shared" si="36"/>
        <v>20800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hidden="1">
      <c r="A166" t="s">
        <v>26</v>
      </c>
      <c r="B166" t="str">
        <f t="shared" si="35"/>
        <v>HIDE</v>
      </c>
      <c r="C166" t="s">
        <v>33</v>
      </c>
      <c r="D166" t="str">
        <f>"""Mission ERP"",""GBRA"",""15"",""1"",""42450"""</f>
        <v>"Mission ERP","GBRA","15","1","42450"</v>
      </c>
      <c r="E166" t="str">
        <f>"42450"</f>
        <v>42450</v>
      </c>
      <c r="F166" t="str">
        <f>"Wholesale Wastewater"</f>
        <v>Wholesale Wastewater</v>
      </c>
      <c r="I166" s="8">
        <v>0</v>
      </c>
      <c r="J166" s="8"/>
      <c r="K166" s="8">
        <v>0</v>
      </c>
      <c r="L166" s="8"/>
      <c r="M166" s="8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</row>
    <row r="167" spans="1:18">
      <c r="A167" t="s">
        <v>26</v>
      </c>
      <c r="B167" t="str">
        <f t="shared" si="35"/>
        <v>SHOW</v>
      </c>
      <c r="C167" t="s">
        <v>33</v>
      </c>
      <c r="D167" t="str">
        <f>"""Mission ERP"",""GBRA"",""15"",""1"",""42451"""</f>
        <v>"Mission ERP","GBRA","15","1","42451"</v>
      </c>
      <c r="E167" t="str">
        <f>"42451"</f>
        <v>42451</v>
      </c>
      <c r="F167" t="str">
        <f>"WASTEWATER-WHOLESALE"</f>
        <v>WASTEWATER-WHOLESALE</v>
      </c>
      <c r="I167" s="8">
        <v>63138</v>
      </c>
      <c r="J167" s="8"/>
      <c r="K167" s="8">
        <v>132638</v>
      </c>
      <c r="L167" s="8"/>
      <c r="M167" s="8">
        <f t="shared" si="36"/>
        <v>69500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>
      <c r="A168" t="s">
        <v>26</v>
      </c>
      <c r="B168" t="str">
        <f t="shared" si="35"/>
        <v>SHOW</v>
      </c>
      <c r="C168" t="s">
        <v>33</v>
      </c>
      <c r="D168" t="str">
        <f>"""Mission ERP"",""GBRA"",""15"",""1"",""42470"""</f>
        <v>"Mission ERP","GBRA","15","1","42470"</v>
      </c>
      <c r="E168" t="str">
        <f>"42470"</f>
        <v>42470</v>
      </c>
      <c r="F168" t="str">
        <f>"CHARGES TO DEVELOPERS"</f>
        <v>CHARGES TO DEVELOPERS</v>
      </c>
      <c r="I168" s="8">
        <v>141743</v>
      </c>
      <c r="J168" s="8"/>
      <c r="K168" s="8">
        <v>68127</v>
      </c>
      <c r="L168" s="8"/>
      <c r="M168" s="8">
        <f t="shared" si="36"/>
        <v>-73616</v>
      </c>
      <c r="P168">
        <f t="shared" si="37"/>
        <v>1</v>
      </c>
      <c r="Q168">
        <f t="shared" si="38"/>
        <v>1</v>
      </c>
      <c r="R168">
        <f t="shared" si="39"/>
        <v>2</v>
      </c>
    </row>
    <row r="169" spans="1:18" hidden="1">
      <c r="B169" t="s">
        <v>16</v>
      </c>
      <c r="I169" s="13"/>
      <c r="J169" s="8"/>
      <c r="K169" s="13"/>
      <c r="L169" s="8"/>
      <c r="M169" s="9"/>
    </row>
    <row r="170" spans="1:18">
      <c r="B170" t="str">
        <f>IF(R170=0,"HIDE","SHOW")</f>
        <v>SHOW</v>
      </c>
      <c r="F170" s="3" t="str">
        <f>CONCATENATE("Total ",F160)</f>
        <v>Total Retail Wastewater</v>
      </c>
      <c r="I170" s="10">
        <f>SUM(I161:I169)</f>
        <v>12526926</v>
      </c>
      <c r="J170" s="11"/>
      <c r="K170" s="10">
        <f>SUM(K161:K169)</f>
        <v>15588630</v>
      </c>
      <c r="L170" s="11"/>
      <c r="M170" s="10">
        <f>K170-I170</f>
        <v>3061704</v>
      </c>
      <c r="P170">
        <f>IF(I170=0,0,1)</f>
        <v>1</v>
      </c>
      <c r="Q170">
        <f>IF(K170=0,0,1)</f>
        <v>1</v>
      </c>
      <c r="R170">
        <f>P170+Q170</f>
        <v>2</v>
      </c>
    </row>
    <row r="171" spans="1:18">
      <c r="B171" t="str">
        <f>B170</f>
        <v>SHOW</v>
      </c>
      <c r="I171" s="8"/>
      <c r="J171" s="8"/>
      <c r="K171" s="8"/>
      <c r="L171" s="8"/>
      <c r="M171" s="8"/>
    </row>
    <row r="172" spans="1:18">
      <c r="B172" t="str">
        <f>B200</f>
        <v>SHOW</v>
      </c>
      <c r="C172">
        <v>42500</v>
      </c>
      <c r="F172" s="3" t="str">
        <f>"Pipeline Revenue"</f>
        <v>Pipeline Revenue</v>
      </c>
      <c r="I172" s="8"/>
      <c r="J172" s="8"/>
      <c r="K172" s="8"/>
      <c r="L172" s="8"/>
      <c r="M172" s="8"/>
    </row>
    <row r="173" spans="1:18">
      <c r="B173" t="str">
        <f>IF(R173=0,"HIDE","SHOW")</f>
        <v>SHOW</v>
      </c>
      <c r="C173" t="s">
        <v>34</v>
      </c>
      <c r="D173" t="str">
        <f>"""Mission ERP"",""GBRA"",""15"",""1"",""42501"""</f>
        <v>"Mission ERP","GBRA","15","1","42501"</v>
      </c>
      <c r="E173" t="str">
        <f>"42501"</f>
        <v>42501</v>
      </c>
      <c r="F173" t="str">
        <f>"O&amp;M-IH35, BUDA"</f>
        <v>O&amp;M-IH35, BUDA</v>
      </c>
      <c r="I173" s="8">
        <v>129519</v>
      </c>
      <c r="J173" s="8"/>
      <c r="K173" s="8">
        <v>145237</v>
      </c>
      <c r="L173" s="8"/>
      <c r="M173" s="8">
        <f>K173-I173</f>
        <v>15718</v>
      </c>
      <c r="P173">
        <f>IF(I173=0,0,1)</f>
        <v>1</v>
      </c>
      <c r="Q173">
        <f>IF(K173=0,0,1)</f>
        <v>1</v>
      </c>
      <c r="R173">
        <f>P173+Q173</f>
        <v>2</v>
      </c>
    </row>
    <row r="174" spans="1:18">
      <c r="A174" t="s">
        <v>26</v>
      </c>
      <c r="B174" t="str">
        <f t="shared" ref="B174:B198" si="40">IF(R174=0,"HIDE","SHOW")</f>
        <v>SHOW</v>
      </c>
      <c r="C174" t="s">
        <v>34</v>
      </c>
      <c r="D174" t="str">
        <f>"""Mission ERP"",""GBRA"",""15"",""1"",""42502"""</f>
        <v>"Mission ERP","GBRA","15","1","42502"</v>
      </c>
      <c r="E174" t="str">
        <f>"42502"</f>
        <v>42502</v>
      </c>
      <c r="F174" t="str">
        <f>"O&amp;M-IH35, GOFORTH"</f>
        <v>O&amp;M-IH35, GOFORTH</v>
      </c>
      <c r="I174" s="8">
        <v>316538</v>
      </c>
      <c r="J174" s="8"/>
      <c r="K174" s="8">
        <v>436279</v>
      </c>
      <c r="L174" s="8"/>
      <c r="M174" s="8">
        <f t="shared" ref="M174:M198" si="41">K174-I174</f>
        <v>119741</v>
      </c>
      <c r="P174">
        <f t="shared" ref="P174:P198" si="42">IF(I174=0,0,1)</f>
        <v>1</v>
      </c>
      <c r="Q174">
        <f t="shared" ref="Q174:Q198" si="43">IF(K174=0,0,1)</f>
        <v>1</v>
      </c>
      <c r="R174">
        <f t="shared" ref="R174:R198" si="44">P174+Q174</f>
        <v>2</v>
      </c>
    </row>
    <row r="175" spans="1:18">
      <c r="A175" t="s">
        <v>26</v>
      </c>
      <c r="B175" t="str">
        <f t="shared" si="40"/>
        <v>SHOW</v>
      </c>
      <c r="C175" t="s">
        <v>34</v>
      </c>
      <c r="D175" t="str">
        <f>"""Mission ERP"",""GBRA"",""15"",""1"",""42503"""</f>
        <v>"Mission ERP","GBRA","15","1","42503"</v>
      </c>
      <c r="E175" t="str">
        <f>"42503"</f>
        <v>42503</v>
      </c>
      <c r="F175" t="str">
        <f>"O&amp;M-IH35, KYLE"</f>
        <v>O&amp;M-IH35, KYLE</v>
      </c>
      <c r="I175" s="8">
        <v>382450</v>
      </c>
      <c r="J175" s="8"/>
      <c r="K175" s="8">
        <v>471916</v>
      </c>
      <c r="L175" s="8"/>
      <c r="M175" s="8">
        <f t="shared" si="41"/>
        <v>89466</v>
      </c>
      <c r="P175">
        <f t="shared" si="42"/>
        <v>1</v>
      </c>
      <c r="Q175">
        <f t="shared" si="43"/>
        <v>1</v>
      </c>
      <c r="R175">
        <f t="shared" si="44"/>
        <v>2</v>
      </c>
    </row>
    <row r="176" spans="1:18">
      <c r="A176" t="s">
        <v>26</v>
      </c>
      <c r="B176" t="str">
        <f t="shared" si="40"/>
        <v>SHOW</v>
      </c>
      <c r="C176" t="s">
        <v>34</v>
      </c>
      <c r="D176" t="str">
        <f>"""Mission ERP"",""GBRA"",""15"",""1"",""42504"""</f>
        <v>"Mission ERP","GBRA","15","1","42504"</v>
      </c>
      <c r="E176" t="str">
        <f>"42504"</f>
        <v>42504</v>
      </c>
      <c r="F176" t="str">
        <f>"O&amp;M-IH35, MONARCH"</f>
        <v>O&amp;M-IH35, MONARCH</v>
      </c>
      <c r="I176" s="8">
        <v>53400</v>
      </c>
      <c r="J176" s="8"/>
      <c r="K176" s="8">
        <v>67467</v>
      </c>
      <c r="L176" s="8"/>
      <c r="M176" s="8">
        <f t="shared" si="41"/>
        <v>14067</v>
      </c>
      <c r="P176">
        <f t="shared" si="42"/>
        <v>1</v>
      </c>
      <c r="Q176">
        <f t="shared" si="43"/>
        <v>1</v>
      </c>
      <c r="R176">
        <f t="shared" si="44"/>
        <v>2</v>
      </c>
    </row>
    <row r="177" spans="1:18">
      <c r="A177" t="s">
        <v>26</v>
      </c>
      <c r="B177" t="str">
        <f t="shared" si="40"/>
        <v>SHOW</v>
      </c>
      <c r="C177" t="s">
        <v>34</v>
      </c>
      <c r="D177" t="str">
        <f>"""Mission ERP"",""GBRA"",""15"",""1"",""42540"""</f>
        <v>"Mission ERP","GBRA","15","1","42540"</v>
      </c>
      <c r="E177" t="str">
        <f>"42540"</f>
        <v>42540</v>
      </c>
      <c r="F177" t="str">
        <f>"O&amp;M-SMWTP, COSM"</f>
        <v>O&amp;M-SMWTP, COSM</v>
      </c>
      <c r="I177" s="8">
        <v>-1311712</v>
      </c>
      <c r="J177" s="8"/>
      <c r="K177" s="8">
        <v>-1507707</v>
      </c>
      <c r="L177" s="8"/>
      <c r="M177" s="8">
        <f t="shared" si="41"/>
        <v>-195995</v>
      </c>
      <c r="P177">
        <f t="shared" si="42"/>
        <v>1</v>
      </c>
      <c r="Q177">
        <f t="shared" si="43"/>
        <v>1</v>
      </c>
      <c r="R177">
        <f t="shared" si="44"/>
        <v>2</v>
      </c>
    </row>
    <row r="178" spans="1:18">
      <c r="A178" t="s">
        <v>26</v>
      </c>
      <c r="B178" t="str">
        <f t="shared" si="40"/>
        <v>SHOW</v>
      </c>
      <c r="C178" t="s">
        <v>34</v>
      </c>
      <c r="D178" t="str">
        <f>"""Mission ERP"",""GBRA"",""15"",""1"",""42541"""</f>
        <v>"Mission ERP","GBRA","15","1","42541"</v>
      </c>
      <c r="E178" t="str">
        <f>"42541"</f>
        <v>42541</v>
      </c>
      <c r="F178" t="str">
        <f>"O&amp;M-SMWTP, BUDA"</f>
        <v>O&amp;M-SMWTP, BUDA</v>
      </c>
      <c r="I178" s="8">
        <v>259005</v>
      </c>
      <c r="J178" s="8"/>
      <c r="K178" s="8">
        <v>280521</v>
      </c>
      <c r="L178" s="8"/>
      <c r="M178" s="8">
        <f t="shared" si="41"/>
        <v>21516</v>
      </c>
      <c r="P178">
        <f t="shared" si="42"/>
        <v>1</v>
      </c>
      <c r="Q178">
        <f t="shared" si="43"/>
        <v>1</v>
      </c>
      <c r="R178">
        <f t="shared" si="44"/>
        <v>2</v>
      </c>
    </row>
    <row r="179" spans="1:18">
      <c r="A179" t="s">
        <v>26</v>
      </c>
      <c r="B179" t="str">
        <f t="shared" si="40"/>
        <v>SHOW</v>
      </c>
      <c r="C179" t="s">
        <v>34</v>
      </c>
      <c r="D179" t="str">
        <f>"""Mission ERP"",""GBRA"",""15"",""1"",""42542"""</f>
        <v>"Mission ERP","GBRA","15","1","42542"</v>
      </c>
      <c r="E179" t="str">
        <f>"42542"</f>
        <v>42542</v>
      </c>
      <c r="F179" t="str">
        <f>"O&amp;M-SMWTP, GOFORTH"</f>
        <v>O&amp;M-SMWTP, GOFORTH</v>
      </c>
      <c r="I179" s="8">
        <v>632997</v>
      </c>
      <c r="J179" s="8"/>
      <c r="K179" s="8">
        <v>842656</v>
      </c>
      <c r="L179" s="8"/>
      <c r="M179" s="8">
        <f t="shared" si="41"/>
        <v>209659</v>
      </c>
      <c r="P179">
        <f t="shared" si="42"/>
        <v>1</v>
      </c>
      <c r="Q179">
        <f t="shared" si="43"/>
        <v>1</v>
      </c>
      <c r="R179">
        <f t="shared" si="44"/>
        <v>2</v>
      </c>
    </row>
    <row r="180" spans="1:18">
      <c r="A180" t="s">
        <v>26</v>
      </c>
      <c r="B180" t="str">
        <f t="shared" si="40"/>
        <v>SHOW</v>
      </c>
      <c r="C180" t="s">
        <v>34</v>
      </c>
      <c r="D180" t="str">
        <f>"""Mission ERP"",""GBRA"",""15"",""1"",""42543"""</f>
        <v>"Mission ERP","GBRA","15","1","42543"</v>
      </c>
      <c r="E180" t="str">
        <f>"42543"</f>
        <v>42543</v>
      </c>
      <c r="F180" t="str">
        <f>"O&amp;M-SMWTP, KYLE"</f>
        <v>O&amp;M-SMWTP, KYLE</v>
      </c>
      <c r="I180" s="8">
        <v>764804</v>
      </c>
      <c r="J180" s="8"/>
      <c r="K180" s="8">
        <v>911489</v>
      </c>
      <c r="L180" s="8"/>
      <c r="M180" s="8">
        <f t="shared" si="41"/>
        <v>146685</v>
      </c>
      <c r="P180">
        <f t="shared" si="42"/>
        <v>1</v>
      </c>
      <c r="Q180">
        <f t="shared" si="43"/>
        <v>1</v>
      </c>
      <c r="R180">
        <f t="shared" si="44"/>
        <v>2</v>
      </c>
    </row>
    <row r="181" spans="1:18">
      <c r="A181" t="s">
        <v>26</v>
      </c>
      <c r="B181" t="str">
        <f t="shared" si="40"/>
        <v>SHOW</v>
      </c>
      <c r="C181" t="s">
        <v>34</v>
      </c>
      <c r="D181" t="str">
        <f>"""Mission ERP"",""GBRA"",""15"",""1"",""42544"""</f>
        <v>"Mission ERP","GBRA","15","1","42544"</v>
      </c>
      <c r="E181" t="str">
        <f>"42544"</f>
        <v>42544</v>
      </c>
      <c r="F181" t="str">
        <f>"O&amp;M-SMWTP, MONARCH"</f>
        <v>O&amp;M-SMWTP, MONARCH</v>
      </c>
      <c r="I181" s="8">
        <v>106786</v>
      </c>
      <c r="J181" s="8"/>
      <c r="K181" s="8">
        <v>130311</v>
      </c>
      <c r="L181" s="8"/>
      <c r="M181" s="8">
        <f t="shared" si="41"/>
        <v>23525</v>
      </c>
      <c r="P181">
        <f t="shared" si="42"/>
        <v>1</v>
      </c>
      <c r="Q181">
        <f t="shared" si="43"/>
        <v>1</v>
      </c>
      <c r="R181">
        <f t="shared" si="44"/>
        <v>2</v>
      </c>
    </row>
    <row r="182" spans="1:18">
      <c r="A182" t="s">
        <v>26</v>
      </c>
      <c r="B182" t="str">
        <f t="shared" si="40"/>
        <v>SHOW</v>
      </c>
      <c r="C182" t="s">
        <v>34</v>
      </c>
      <c r="D182" t="str">
        <f>"""Mission ERP"",""GBRA"",""15"",""1"",""42550"""</f>
        <v>"Mission ERP","GBRA","15","1","42550"</v>
      </c>
      <c r="E182" t="str">
        <f>"42550"</f>
        <v>42550</v>
      </c>
      <c r="F182" t="str">
        <f>"O&amp;M-RRWDS, COSM"</f>
        <v>O&amp;M-RRWDS, COSM</v>
      </c>
      <c r="I182" s="8">
        <v>1862789</v>
      </c>
      <c r="J182" s="8"/>
      <c r="K182" s="8">
        <v>1939264</v>
      </c>
      <c r="L182" s="8"/>
      <c r="M182" s="8">
        <f t="shared" si="41"/>
        <v>76475</v>
      </c>
      <c r="P182">
        <f t="shared" si="42"/>
        <v>1</v>
      </c>
      <c r="Q182">
        <f t="shared" si="43"/>
        <v>1</v>
      </c>
      <c r="R182">
        <f t="shared" si="44"/>
        <v>2</v>
      </c>
    </row>
    <row r="183" spans="1:18">
      <c r="A183" t="s">
        <v>26</v>
      </c>
      <c r="B183" t="str">
        <f t="shared" si="40"/>
        <v>SHOW</v>
      </c>
      <c r="C183" t="s">
        <v>34</v>
      </c>
      <c r="D183" t="str">
        <f>"""Mission ERP"",""GBRA"",""15"",""1"",""42551"""</f>
        <v>"Mission ERP","GBRA","15","1","42551"</v>
      </c>
      <c r="E183" t="str">
        <f>"42551"</f>
        <v>42551</v>
      </c>
      <c r="F183" t="str">
        <f>"O&amp;M-RRWDS, BUDA"</f>
        <v>O&amp;M-RRWDS, BUDA</v>
      </c>
      <c r="I183" s="8">
        <v>302719</v>
      </c>
      <c r="J183" s="8"/>
      <c r="K183" s="8">
        <v>272127</v>
      </c>
      <c r="L183" s="8"/>
      <c r="M183" s="8">
        <f t="shared" si="41"/>
        <v>-30592</v>
      </c>
      <c r="P183">
        <f t="shared" si="42"/>
        <v>1</v>
      </c>
      <c r="Q183">
        <f t="shared" si="43"/>
        <v>1</v>
      </c>
      <c r="R183">
        <f t="shared" si="44"/>
        <v>2</v>
      </c>
    </row>
    <row r="184" spans="1:18">
      <c r="A184" t="s">
        <v>26</v>
      </c>
      <c r="B184" t="str">
        <f t="shared" si="40"/>
        <v>SHOW</v>
      </c>
      <c r="C184" t="s">
        <v>34</v>
      </c>
      <c r="D184" t="str">
        <f>"""Mission ERP"",""GBRA"",""15"",""1"",""42552"""</f>
        <v>"Mission ERP","GBRA","15","1","42552"</v>
      </c>
      <c r="E184" t="str">
        <f>"42552"</f>
        <v>42552</v>
      </c>
      <c r="F184" t="str">
        <f>"O&amp;M-RRWDS, GOFORTH"</f>
        <v>O&amp;M-RRWDS, GOFORTH</v>
      </c>
      <c r="I184" s="8">
        <v>739830</v>
      </c>
      <c r="J184" s="8"/>
      <c r="K184" s="8">
        <v>817440</v>
      </c>
      <c r="L184" s="8"/>
      <c r="M184" s="8">
        <f t="shared" si="41"/>
        <v>77610</v>
      </c>
      <c r="P184">
        <f t="shared" si="42"/>
        <v>1</v>
      </c>
      <c r="Q184">
        <f t="shared" si="43"/>
        <v>1</v>
      </c>
      <c r="R184">
        <f t="shared" si="44"/>
        <v>2</v>
      </c>
    </row>
    <row r="185" spans="1:18">
      <c r="A185" t="s">
        <v>26</v>
      </c>
      <c r="B185" t="str">
        <f t="shared" si="40"/>
        <v>SHOW</v>
      </c>
      <c r="C185" t="s">
        <v>34</v>
      </c>
      <c r="D185" t="str">
        <f>"""Mission ERP"",""GBRA"",""15"",""1"",""42553"""</f>
        <v>"Mission ERP","GBRA","15","1","42553"</v>
      </c>
      <c r="E185" t="str">
        <f>"42553"</f>
        <v>42553</v>
      </c>
      <c r="F185" t="str">
        <f>"O&amp;M-RRWDS, GPP"</f>
        <v>O&amp;M-RRWDS, GPP</v>
      </c>
      <c r="I185" s="8">
        <v>814565</v>
      </c>
      <c r="J185" s="8"/>
      <c r="K185" s="8">
        <v>869022</v>
      </c>
      <c r="L185" s="8"/>
      <c r="M185" s="8">
        <f t="shared" si="41"/>
        <v>54457</v>
      </c>
      <c r="P185">
        <f t="shared" si="42"/>
        <v>1</v>
      </c>
      <c r="Q185">
        <f t="shared" si="43"/>
        <v>1</v>
      </c>
      <c r="R185">
        <f t="shared" si="44"/>
        <v>2</v>
      </c>
    </row>
    <row r="186" spans="1:18">
      <c r="A186" t="s">
        <v>26</v>
      </c>
      <c r="B186" t="str">
        <f t="shared" si="40"/>
        <v>SHOW</v>
      </c>
      <c r="C186" t="s">
        <v>34</v>
      </c>
      <c r="D186" t="str">
        <f>"""Mission ERP"",""GBRA"",""15"",""1"",""42554"""</f>
        <v>"Mission ERP","GBRA","15","1","42554"</v>
      </c>
      <c r="E186" t="str">
        <f>"42554"</f>
        <v>42554</v>
      </c>
      <c r="F186" t="str">
        <f>"O&amp;M-RRWDS, HELP"</f>
        <v>O&amp;M-RRWDS, HELP</v>
      </c>
      <c r="I186" s="8">
        <v>322911</v>
      </c>
      <c r="J186" s="8"/>
      <c r="K186" s="8">
        <v>371263</v>
      </c>
      <c r="L186" s="8"/>
      <c r="M186" s="8">
        <f t="shared" si="41"/>
        <v>48352</v>
      </c>
      <c r="P186">
        <f t="shared" si="42"/>
        <v>1</v>
      </c>
      <c r="Q186">
        <f t="shared" si="43"/>
        <v>1</v>
      </c>
      <c r="R186">
        <f t="shared" si="44"/>
        <v>2</v>
      </c>
    </row>
    <row r="187" spans="1:18">
      <c r="A187" t="s">
        <v>26</v>
      </c>
      <c r="B187" t="str">
        <f t="shared" si="40"/>
        <v>SHOW</v>
      </c>
      <c r="C187" t="s">
        <v>34</v>
      </c>
      <c r="D187" t="str">
        <f>"""Mission ERP"",""GBRA"",""15"",""1"",""42555"""</f>
        <v>"Mission ERP","GBRA","15","1","42555"</v>
      </c>
      <c r="E187" t="str">
        <f>"42555"</f>
        <v>42555</v>
      </c>
      <c r="F187" t="str">
        <f>"O&amp;M-RRWDS, KYLE"</f>
        <v>O&amp;M-RRWDS, KYLE</v>
      </c>
      <c r="I187" s="8">
        <v>893882</v>
      </c>
      <c r="J187" s="8"/>
      <c r="K187" s="8">
        <v>884213</v>
      </c>
      <c r="L187" s="8"/>
      <c r="M187" s="8">
        <f t="shared" si="41"/>
        <v>-9669</v>
      </c>
      <c r="P187">
        <f t="shared" si="42"/>
        <v>1</v>
      </c>
      <c r="Q187">
        <f t="shared" si="43"/>
        <v>1</v>
      </c>
      <c r="R187">
        <f t="shared" si="44"/>
        <v>2</v>
      </c>
    </row>
    <row r="188" spans="1:18">
      <c r="A188" t="s">
        <v>26</v>
      </c>
      <c r="B188" t="str">
        <f t="shared" si="40"/>
        <v>SHOW</v>
      </c>
      <c r="C188" t="s">
        <v>34</v>
      </c>
      <c r="D188" t="str">
        <f>"""Mission ERP"",""GBRA"",""15"",""1"",""42556"""</f>
        <v>"Mission ERP","GBRA","15","1","42556"</v>
      </c>
      <c r="E188" t="str">
        <f>"42556"</f>
        <v>42556</v>
      </c>
      <c r="F188" t="str">
        <f>"O&amp;M-RRWDS, CRWA"</f>
        <v>O&amp;M-RRWDS, CRWA</v>
      </c>
      <c r="I188" s="8">
        <v>420338</v>
      </c>
      <c r="J188" s="8"/>
      <c r="K188" s="8">
        <v>442240</v>
      </c>
      <c r="L188" s="8"/>
      <c r="M188" s="8">
        <f t="shared" si="41"/>
        <v>21902</v>
      </c>
      <c r="P188">
        <f t="shared" si="42"/>
        <v>1</v>
      </c>
      <c r="Q188">
        <f t="shared" si="43"/>
        <v>1</v>
      </c>
      <c r="R188">
        <f t="shared" si="44"/>
        <v>2</v>
      </c>
    </row>
    <row r="189" spans="1:18">
      <c r="A189" t="s">
        <v>26</v>
      </c>
      <c r="B189" t="str">
        <f t="shared" si="40"/>
        <v>SHOW</v>
      </c>
      <c r="C189" t="s">
        <v>34</v>
      </c>
      <c r="D189" t="str">
        <f>"""Mission ERP"",""GBRA"",""15"",""1"",""42557"""</f>
        <v>"Mission ERP","GBRA","15","1","42557"</v>
      </c>
      <c r="E189" t="str">
        <f>"42557"</f>
        <v>42557</v>
      </c>
      <c r="F189" t="str">
        <f>"O&amp;M-RRWDS, MONARCH"</f>
        <v>O&amp;M-RRWDS, MONARCH</v>
      </c>
      <c r="I189" s="8">
        <v>124808</v>
      </c>
      <c r="J189" s="8"/>
      <c r="K189" s="8">
        <v>126412</v>
      </c>
      <c r="L189" s="8"/>
      <c r="M189" s="8">
        <f t="shared" si="41"/>
        <v>1604</v>
      </c>
      <c r="P189">
        <f t="shared" si="42"/>
        <v>1</v>
      </c>
      <c r="Q189">
        <f t="shared" si="43"/>
        <v>1</v>
      </c>
      <c r="R189">
        <f t="shared" si="44"/>
        <v>2</v>
      </c>
    </row>
    <row r="190" spans="1:18">
      <c r="A190" t="s">
        <v>26</v>
      </c>
      <c r="B190" t="str">
        <f t="shared" si="40"/>
        <v>SHOW</v>
      </c>
      <c r="C190" t="s">
        <v>34</v>
      </c>
      <c r="D190" t="str">
        <f>"""Mission ERP"",""GBRA"",""15"",""1"",""42570"""</f>
        <v>"Mission ERP","GBRA","15","1","42570"</v>
      </c>
      <c r="E190" t="str">
        <f>"42570"</f>
        <v>42570</v>
      </c>
      <c r="F190" t="str">
        <f>"O&amp;M-CARRIZO WELLS, NBU"</f>
        <v>O&amp;M-CARRIZO WELLS, NBU</v>
      </c>
      <c r="I190" s="8">
        <v>271915</v>
      </c>
      <c r="J190" s="8"/>
      <c r="K190" s="8">
        <v>471409</v>
      </c>
      <c r="L190" s="8"/>
      <c r="M190" s="8">
        <f t="shared" si="41"/>
        <v>199494</v>
      </c>
      <c r="P190">
        <f t="shared" si="42"/>
        <v>1</v>
      </c>
      <c r="Q190">
        <f t="shared" si="43"/>
        <v>1</v>
      </c>
      <c r="R190">
        <f t="shared" si="44"/>
        <v>2</v>
      </c>
    </row>
    <row r="191" spans="1:18">
      <c r="A191" t="s">
        <v>26</v>
      </c>
      <c r="B191" t="str">
        <f t="shared" si="40"/>
        <v>SHOW</v>
      </c>
      <c r="C191" t="s">
        <v>34</v>
      </c>
      <c r="D191" t="str">
        <f>"""Mission ERP"",""GBRA"",""15"",""1"",""42571"""</f>
        <v>"Mission ERP","GBRA","15","1","42571"</v>
      </c>
      <c r="E191" t="str">
        <f>"42571"</f>
        <v>42571</v>
      </c>
      <c r="F191" t="str">
        <f>"O&amp;M-CARRIZO WELLS, LOCKHART"</f>
        <v>O&amp;M-CARRIZO WELLS, LOCKHART</v>
      </c>
      <c r="I191" s="8">
        <v>218276</v>
      </c>
      <c r="J191" s="8"/>
      <c r="K191" s="8">
        <v>176778</v>
      </c>
      <c r="L191" s="8"/>
      <c r="M191" s="8">
        <f t="shared" si="41"/>
        <v>-41498</v>
      </c>
      <c r="P191">
        <f t="shared" si="42"/>
        <v>1</v>
      </c>
      <c r="Q191">
        <f t="shared" si="43"/>
        <v>1</v>
      </c>
      <c r="R191">
        <f t="shared" si="44"/>
        <v>2</v>
      </c>
    </row>
    <row r="192" spans="1:18">
      <c r="A192" t="s">
        <v>26</v>
      </c>
      <c r="B192" t="str">
        <f t="shared" si="40"/>
        <v>SHOW</v>
      </c>
      <c r="C192" t="s">
        <v>34</v>
      </c>
      <c r="D192" t="str">
        <f>"""Mission ERP"",""GBRA"",""15"",""1"",""42572"""</f>
        <v>"Mission ERP","GBRA","15","1","42572"</v>
      </c>
      <c r="E192" t="str">
        <f>"42572"</f>
        <v>42572</v>
      </c>
      <c r="F192" t="str">
        <f>"O&amp;M-CARRIZO WELLS, GOFORTH"</f>
        <v>O&amp;M-CARRIZO WELLS, GOFORTH</v>
      </c>
      <c r="I192" s="8">
        <v>242481</v>
      </c>
      <c r="J192" s="8"/>
      <c r="K192" s="8">
        <v>235705</v>
      </c>
      <c r="L192" s="8"/>
      <c r="M192" s="8">
        <f t="shared" si="41"/>
        <v>-6776</v>
      </c>
      <c r="P192">
        <f t="shared" si="42"/>
        <v>1</v>
      </c>
      <c r="Q192">
        <f t="shared" si="43"/>
        <v>1</v>
      </c>
      <c r="R192">
        <f t="shared" si="44"/>
        <v>2</v>
      </c>
    </row>
    <row r="193" spans="1:18">
      <c r="A193" t="s">
        <v>26</v>
      </c>
      <c r="B193" t="str">
        <f t="shared" si="40"/>
        <v>SHOW</v>
      </c>
      <c r="C193" t="s">
        <v>34</v>
      </c>
      <c r="D193" t="str">
        <f>"""Mission ERP"",""GBRA"",""15"",""1"",""42580"""</f>
        <v>"Mission ERP","GBRA","15","1","42580"</v>
      </c>
      <c r="E193" t="str">
        <f>"42580"</f>
        <v>42580</v>
      </c>
      <c r="F193" t="str">
        <f>"O&amp;M-CARRIZO WTP (Fixed), NBU"</f>
        <v>O&amp;M-CARRIZO WTP (Fixed), NBU</v>
      </c>
      <c r="I193" s="8">
        <v>367600</v>
      </c>
      <c r="J193" s="8"/>
      <c r="K193" s="8">
        <v>131713</v>
      </c>
      <c r="L193" s="8"/>
      <c r="M193" s="8">
        <f t="shared" si="41"/>
        <v>-235887</v>
      </c>
      <c r="P193">
        <f t="shared" si="42"/>
        <v>1</v>
      </c>
      <c r="Q193">
        <f t="shared" si="43"/>
        <v>1</v>
      </c>
      <c r="R193">
        <f t="shared" si="44"/>
        <v>2</v>
      </c>
    </row>
    <row r="194" spans="1:18">
      <c r="A194" t="s">
        <v>26</v>
      </c>
      <c r="B194" t="str">
        <f t="shared" si="40"/>
        <v>SHOW</v>
      </c>
      <c r="C194" t="s">
        <v>34</v>
      </c>
      <c r="D194" t="str">
        <f>"""Mission ERP"",""GBRA"",""15"",""1"",""42581"""</f>
        <v>"Mission ERP","GBRA","15","1","42581"</v>
      </c>
      <c r="E194" t="str">
        <f>"42581"</f>
        <v>42581</v>
      </c>
      <c r="F194" t="str">
        <f>"O&amp;M-CARRIZO WTP (Fixed), LOCKHART"</f>
        <v>O&amp;M-CARRIZO WTP (Fixed), LOCKHART</v>
      </c>
      <c r="I194" s="8">
        <v>137850</v>
      </c>
      <c r="J194" s="8"/>
      <c r="K194" s="8">
        <v>49393</v>
      </c>
      <c r="L194" s="8"/>
      <c r="M194" s="8">
        <f t="shared" si="41"/>
        <v>-88457</v>
      </c>
      <c r="P194">
        <f t="shared" si="42"/>
        <v>1</v>
      </c>
      <c r="Q194">
        <f t="shared" si="43"/>
        <v>1</v>
      </c>
      <c r="R194">
        <f t="shared" si="44"/>
        <v>2</v>
      </c>
    </row>
    <row r="195" spans="1:18">
      <c r="A195" t="s">
        <v>26</v>
      </c>
      <c r="B195" t="str">
        <f t="shared" si="40"/>
        <v>SHOW</v>
      </c>
      <c r="C195" t="s">
        <v>34</v>
      </c>
      <c r="D195" t="str">
        <f>"""Mission ERP"",""GBRA"",""15"",""1"",""42582"""</f>
        <v>"Mission ERP","GBRA","15","1","42582"</v>
      </c>
      <c r="E195" t="str">
        <f>"42582"</f>
        <v>42582</v>
      </c>
      <c r="F195" t="str">
        <f>"O&amp;M-CARRIZO WTP (Fixed), GOFORTH"</f>
        <v>O&amp;M-CARRIZO WTP (Fixed), GOFORTH</v>
      </c>
      <c r="I195" s="8">
        <v>183800</v>
      </c>
      <c r="J195" s="8"/>
      <c r="K195" s="8">
        <v>65857</v>
      </c>
      <c r="L195" s="8"/>
      <c r="M195" s="8">
        <f t="shared" si="41"/>
        <v>-117943</v>
      </c>
      <c r="P195">
        <f t="shared" si="42"/>
        <v>1</v>
      </c>
      <c r="Q195">
        <f t="shared" si="43"/>
        <v>1</v>
      </c>
      <c r="R195">
        <f t="shared" si="44"/>
        <v>2</v>
      </c>
    </row>
    <row r="196" spans="1:18">
      <c r="A196" t="s">
        <v>26</v>
      </c>
      <c r="B196" t="str">
        <f t="shared" si="40"/>
        <v>SHOW</v>
      </c>
      <c r="C196" t="s">
        <v>34</v>
      </c>
      <c r="D196" t="str">
        <f>"""Mission ERP"",""GBRA"",""15"",""1"",""42590"""</f>
        <v>"Mission ERP","GBRA","15","1","42590"</v>
      </c>
      <c r="E196" t="str">
        <f>"42590"</f>
        <v>42590</v>
      </c>
      <c r="F196" t="str">
        <f>"O&amp;M-CARRIZO WTP (Variable), NBU "</f>
        <v xml:space="preserve">O&amp;M-CARRIZO WTP (Variable), NBU </v>
      </c>
      <c r="I196" s="8">
        <v>1419850</v>
      </c>
      <c r="J196" s="8"/>
      <c r="K196" s="8">
        <v>3633399</v>
      </c>
      <c r="L196" s="8"/>
      <c r="M196" s="8">
        <f t="shared" si="41"/>
        <v>2213549</v>
      </c>
      <c r="P196">
        <f t="shared" si="42"/>
        <v>1</v>
      </c>
      <c r="Q196">
        <f t="shared" si="43"/>
        <v>1</v>
      </c>
      <c r="R196">
        <f t="shared" si="44"/>
        <v>2</v>
      </c>
    </row>
    <row r="197" spans="1:18">
      <c r="A197" t="s">
        <v>26</v>
      </c>
      <c r="B197" t="str">
        <f t="shared" si="40"/>
        <v>SHOW</v>
      </c>
      <c r="C197" t="s">
        <v>34</v>
      </c>
      <c r="D197" t="str">
        <f>"""Mission ERP"",""GBRA"",""15"",""1"",""42591"""</f>
        <v>"Mission ERP","GBRA","15","1","42591"</v>
      </c>
      <c r="E197" t="str">
        <f>"42591"</f>
        <v>42591</v>
      </c>
      <c r="F197" t="str">
        <f>"O&amp;M-CARRIZO WTP (Variable), LOCKHART"</f>
        <v>O&amp;M-CARRIZO WTP (Variable), LOCKHART</v>
      </c>
      <c r="I197" s="8">
        <v>1139770</v>
      </c>
      <c r="J197" s="8"/>
      <c r="K197" s="8">
        <v>1362525</v>
      </c>
      <c r="L197" s="8"/>
      <c r="M197" s="8">
        <f t="shared" si="41"/>
        <v>222755</v>
      </c>
      <c r="P197">
        <f t="shared" si="42"/>
        <v>1</v>
      </c>
      <c r="Q197">
        <f t="shared" si="43"/>
        <v>1</v>
      </c>
      <c r="R197">
        <f t="shared" si="44"/>
        <v>2</v>
      </c>
    </row>
    <row r="198" spans="1:18">
      <c r="A198" t="s">
        <v>26</v>
      </c>
      <c r="B198" t="str">
        <f t="shared" si="40"/>
        <v>SHOW</v>
      </c>
      <c r="C198" t="s">
        <v>34</v>
      </c>
      <c r="D198" t="str">
        <f>"""Mission ERP"",""GBRA"",""15"",""1"",""42592"""</f>
        <v>"Mission ERP","GBRA","15","1","42592"</v>
      </c>
      <c r="E198" t="str">
        <f>"42592"</f>
        <v>42592</v>
      </c>
      <c r="F198" t="str">
        <f>"O&amp;M-CARRIZO WTP (Variable), GOFORTH"</f>
        <v>O&amp;M-CARRIZO WTP (Variable), GOFORTH</v>
      </c>
      <c r="I198" s="8">
        <v>1266158</v>
      </c>
      <c r="J198" s="8"/>
      <c r="K198" s="8">
        <v>1816700</v>
      </c>
      <c r="L198" s="8"/>
      <c r="M198" s="8">
        <f t="shared" si="41"/>
        <v>550542</v>
      </c>
      <c r="P198">
        <f t="shared" si="42"/>
        <v>1</v>
      </c>
      <c r="Q198">
        <f t="shared" si="43"/>
        <v>1</v>
      </c>
      <c r="R198">
        <f t="shared" si="44"/>
        <v>2</v>
      </c>
    </row>
    <row r="199" spans="1:18" hidden="1">
      <c r="B199" t="s">
        <v>16</v>
      </c>
      <c r="I199" s="9"/>
      <c r="J199" s="8"/>
      <c r="K199" s="9"/>
      <c r="L199" s="8"/>
      <c r="M199" s="9"/>
    </row>
    <row r="200" spans="1:18">
      <c r="B200" t="str">
        <f>IF(R200=0,"HIDE","SHOW")</f>
        <v>SHOW</v>
      </c>
      <c r="F200" s="3" t="str">
        <f>CONCATENATE("Total ",F172)</f>
        <v>Total Pipeline Revenue</v>
      </c>
      <c r="I200" s="10">
        <f>SUM(I173:I199)</f>
        <v>12063329</v>
      </c>
      <c r="J200" s="11"/>
      <c r="K200" s="10">
        <f>SUM(K173:K199)</f>
        <v>15443629</v>
      </c>
      <c r="L200" s="11"/>
      <c r="M200" s="10">
        <f>K200-I200</f>
        <v>3380300</v>
      </c>
      <c r="P200">
        <f>IF(I200=0,0,1)</f>
        <v>1</v>
      </c>
      <c r="Q200">
        <f>IF(K200=0,0,1)</f>
        <v>1</v>
      </c>
      <c r="R200">
        <f>P200+Q200</f>
        <v>2</v>
      </c>
    </row>
    <row r="201" spans="1:18">
      <c r="B201" t="str">
        <f>B200</f>
        <v>SHOW</v>
      </c>
      <c r="I201" s="8"/>
      <c r="J201" s="8"/>
      <c r="K201" s="8"/>
      <c r="L201" s="8"/>
      <c r="M201" s="8"/>
    </row>
    <row r="202" spans="1:18">
      <c r="B202" t="str">
        <f>B210</f>
        <v>SHOW</v>
      </c>
      <c r="C202">
        <v>42700</v>
      </c>
      <c r="F202" s="3" t="str">
        <f>"Hydroelectric"</f>
        <v>Hydroelectric</v>
      </c>
      <c r="I202" s="8"/>
      <c r="J202" s="8"/>
      <c r="K202" s="8"/>
      <c r="L202" s="8"/>
      <c r="M202" s="8"/>
    </row>
    <row r="203" spans="1:18">
      <c r="B203" t="str">
        <f>IF(R203=0,"HIDE","SHOW")</f>
        <v>SHOW</v>
      </c>
      <c r="C203" t="s">
        <v>35</v>
      </c>
      <c r="D203" t="str">
        <f>"""Mission ERP"",""GBRA"",""15"",""1"",""42701"""</f>
        <v>"Mission ERP","GBRA","15","1","42701"</v>
      </c>
      <c r="E203" t="str">
        <f>"42701"</f>
        <v>42701</v>
      </c>
      <c r="F203" t="str">
        <f>"ENERGY PAYMENT"</f>
        <v>ENERGY PAYMENT</v>
      </c>
      <c r="I203" s="8">
        <v>352241</v>
      </c>
      <c r="J203" s="8"/>
      <c r="K203" s="8">
        <v>544292</v>
      </c>
      <c r="L203" s="8"/>
      <c r="M203" s="8">
        <f>K203-I203</f>
        <v>192051</v>
      </c>
      <c r="P203">
        <f>IF(I203=0,0,1)</f>
        <v>1</v>
      </c>
      <c r="Q203">
        <f>IF(K203=0,0,1)</f>
        <v>1</v>
      </c>
      <c r="R203">
        <f>P203+Q203</f>
        <v>2</v>
      </c>
    </row>
    <row r="204" spans="1:18">
      <c r="A204" t="s">
        <v>26</v>
      </c>
      <c r="B204" t="str">
        <f t="shared" ref="B204:B208" si="45">IF(R204=0,"HIDE","SHOW")</f>
        <v>SHOW</v>
      </c>
      <c r="C204" t="s">
        <v>35</v>
      </c>
      <c r="D204" t="str">
        <f>"""Mission ERP"",""GBRA"",""15"",""1"",""42702"""</f>
        <v>"Mission ERP","GBRA","15","1","42702"</v>
      </c>
      <c r="E204" t="str">
        <f>"42702"</f>
        <v>42702</v>
      </c>
      <c r="F204" t="str">
        <f>"CAPACITY PAYMENT"</f>
        <v>CAPACITY PAYMENT</v>
      </c>
      <c r="I204" s="8">
        <v>347000</v>
      </c>
      <c r="J204" s="8"/>
      <c r="K204" s="8">
        <v>594000</v>
      </c>
      <c r="L204" s="8"/>
      <c r="M204" s="8">
        <f t="shared" ref="M204:M208" si="46">K204-I204</f>
        <v>247000</v>
      </c>
      <c r="P204">
        <f t="shared" ref="P204:P208" si="47">IF(I204=0,0,1)</f>
        <v>1</v>
      </c>
      <c r="Q204">
        <f t="shared" ref="Q204:Q208" si="48">IF(K204=0,0,1)</f>
        <v>1</v>
      </c>
      <c r="R204">
        <f t="shared" ref="R204:R208" si="49">P204+Q204</f>
        <v>2</v>
      </c>
    </row>
    <row r="205" spans="1:18" hidden="1">
      <c r="A205" t="s">
        <v>26</v>
      </c>
      <c r="B205" t="str">
        <f t="shared" si="45"/>
        <v>HIDE</v>
      </c>
      <c r="C205" t="s">
        <v>35</v>
      </c>
      <c r="D205" t="str">
        <f>"""Mission ERP"",""GBRA"",""15"",""1"",""42703"""</f>
        <v>"Mission ERP","GBRA","15","1","42703"</v>
      </c>
      <c r="E205" t="str">
        <f>"42703"</f>
        <v>42703</v>
      </c>
      <c r="F205" t="str">
        <f>"CREDIT-RENEWABLE ENERGY"</f>
        <v>CREDIT-RENEWABLE ENERGY</v>
      </c>
      <c r="I205" s="8">
        <v>0</v>
      </c>
      <c r="J205" s="8"/>
      <c r="K205" s="8">
        <v>0</v>
      </c>
      <c r="L205" s="8"/>
      <c r="M205" s="8">
        <f t="shared" si="46"/>
        <v>0</v>
      </c>
      <c r="P205">
        <f t="shared" si="47"/>
        <v>0</v>
      </c>
      <c r="Q205">
        <f t="shared" si="48"/>
        <v>0</v>
      </c>
      <c r="R205">
        <f t="shared" si="49"/>
        <v>0</v>
      </c>
    </row>
    <row r="206" spans="1:18" hidden="1">
      <c r="A206" t="s">
        <v>26</v>
      </c>
      <c r="B206" t="str">
        <f t="shared" si="45"/>
        <v>HIDE</v>
      </c>
      <c r="C206" t="s">
        <v>35</v>
      </c>
      <c r="D206" t="str">
        <f>"""Mission ERP"",""GBRA"",""15"",""1"",""42704"""</f>
        <v>"Mission ERP","GBRA","15","1","42704"</v>
      </c>
      <c r="E206" t="str">
        <f>"42704"</f>
        <v>42704</v>
      </c>
      <c r="F206" t="str">
        <f>"GUARANTEED MINIMUM REV PER CONTRACT, LK DUNLAP"</f>
        <v>GUARANTEED MINIMUM REV PER CONTRACT, LK DUNLAP</v>
      </c>
      <c r="I206" s="8">
        <v>0</v>
      </c>
      <c r="J206" s="8"/>
      <c r="K206" s="8">
        <v>0</v>
      </c>
      <c r="L206" s="8"/>
      <c r="M206" s="8">
        <f t="shared" si="46"/>
        <v>0</v>
      </c>
      <c r="P206">
        <f t="shared" si="47"/>
        <v>0</v>
      </c>
      <c r="Q206">
        <f t="shared" si="48"/>
        <v>0</v>
      </c>
      <c r="R206">
        <f t="shared" si="49"/>
        <v>0</v>
      </c>
    </row>
    <row r="207" spans="1:18" hidden="1">
      <c r="A207" t="s">
        <v>26</v>
      </c>
      <c r="B207" t="str">
        <f t="shared" si="45"/>
        <v>HIDE</v>
      </c>
      <c r="C207" t="s">
        <v>35</v>
      </c>
      <c r="D207" t="str">
        <f>"""Mission ERP"",""GBRA"",""15"",""1"",""42705"""</f>
        <v>"Mission ERP","GBRA","15","1","42705"</v>
      </c>
      <c r="E207" t="str">
        <f>"42705"</f>
        <v>42705</v>
      </c>
      <c r="F207" t="str">
        <f>"WCID PAYMENT"</f>
        <v>WCID PAYMENT</v>
      </c>
      <c r="I207" s="8">
        <v>0</v>
      </c>
      <c r="J207" s="8"/>
      <c r="K207" s="8">
        <v>0</v>
      </c>
      <c r="L207" s="8"/>
      <c r="M207" s="8">
        <f t="shared" si="46"/>
        <v>0</v>
      </c>
      <c r="P207">
        <f t="shared" si="47"/>
        <v>0</v>
      </c>
      <c r="Q207">
        <f t="shared" si="48"/>
        <v>0</v>
      </c>
      <c r="R207">
        <f t="shared" si="49"/>
        <v>0</v>
      </c>
    </row>
    <row r="208" spans="1:18" hidden="1">
      <c r="A208" t="s">
        <v>26</v>
      </c>
      <c r="B208" t="str">
        <f t="shared" si="45"/>
        <v>HIDE</v>
      </c>
      <c r="C208" t="s">
        <v>35</v>
      </c>
      <c r="D208" t="str">
        <f>"""Mission ERP"",""GBRA"",""15"",""1"",""42715"""</f>
        <v>"Mission ERP","GBRA","15","1","42715"</v>
      </c>
      <c r="E208" t="str">
        <f>"42715"</f>
        <v>42715</v>
      </c>
      <c r="F208" t="str">
        <f>"LK DUNLAP CANAL CHARGE"</f>
        <v>LK DUNLAP CANAL CHARGE</v>
      </c>
      <c r="I208" s="8">
        <v>0</v>
      </c>
      <c r="J208" s="8"/>
      <c r="K208" s="8">
        <v>0</v>
      </c>
      <c r="L208" s="8"/>
      <c r="M208" s="8">
        <f t="shared" si="46"/>
        <v>0</v>
      </c>
      <c r="P208">
        <f t="shared" si="47"/>
        <v>0</v>
      </c>
      <c r="Q208">
        <f t="shared" si="48"/>
        <v>0</v>
      </c>
      <c r="R208">
        <f t="shared" si="49"/>
        <v>0</v>
      </c>
    </row>
    <row r="209" spans="1:18" hidden="1">
      <c r="B209" t="s">
        <v>16</v>
      </c>
      <c r="I209" s="9"/>
      <c r="J209" s="8"/>
      <c r="K209" s="9"/>
      <c r="L209" s="8"/>
      <c r="M209" s="9"/>
    </row>
    <row r="210" spans="1:18">
      <c r="B210" t="str">
        <f>IF(R210=0,"HIDE","SHOW")</f>
        <v>SHOW</v>
      </c>
      <c r="F210" s="3" t="str">
        <f>CONCATENATE("Total ",F202)</f>
        <v>Total Hydroelectric</v>
      </c>
      <c r="I210" s="10">
        <f>SUM(I203:I209)</f>
        <v>699241</v>
      </c>
      <c r="J210" s="11"/>
      <c r="K210" s="10">
        <f>SUM(K203:K209)</f>
        <v>1138292</v>
      </c>
      <c r="L210" s="11"/>
      <c r="M210" s="10">
        <f>K210-I210</f>
        <v>439051</v>
      </c>
      <c r="P210">
        <f>IF(I210=0,0,1)</f>
        <v>1</v>
      </c>
      <c r="Q210">
        <f>IF(K210=0,0,1)</f>
        <v>1</v>
      </c>
      <c r="R210">
        <f>P210+Q210</f>
        <v>2</v>
      </c>
    </row>
    <row r="211" spans="1:18">
      <c r="B211" t="str">
        <f>B210</f>
        <v>SHOW</v>
      </c>
      <c r="I211" s="8"/>
      <c r="J211" s="8"/>
      <c r="K211" s="8"/>
      <c r="L211" s="8"/>
      <c r="M211" s="8"/>
    </row>
    <row r="212" spans="1:18">
      <c r="B212" t="str">
        <f>B215</f>
        <v>SHOW</v>
      </c>
      <c r="C212">
        <v>42800</v>
      </c>
      <c r="F212" s="3" t="str">
        <f>"Laboratory"</f>
        <v>Laboratory</v>
      </c>
      <c r="I212" s="8"/>
      <c r="J212" s="8"/>
      <c r="K212" s="8"/>
      <c r="L212" s="8"/>
      <c r="M212" s="8"/>
    </row>
    <row r="213" spans="1:18">
      <c r="B213" t="str">
        <f>IF(R213=0,"HIDE","SHOW")</f>
        <v>SHOW</v>
      </c>
      <c r="C213" t="s">
        <v>36</v>
      </c>
      <c r="D213" t="str">
        <f>"""Mission ERP"",""GBRA"",""15"",""1"",""42801"""</f>
        <v>"Mission ERP","GBRA","15","1","42801"</v>
      </c>
      <c r="E213" t="str">
        <f>"42801"</f>
        <v>42801</v>
      </c>
      <c r="F213" t="str">
        <f>"REV-LABORATORY SERVICES"</f>
        <v>REV-LABORATORY SERVICES</v>
      </c>
      <c r="I213" s="8">
        <v>990000</v>
      </c>
      <c r="J213" s="8"/>
      <c r="K213" s="8">
        <v>1110000</v>
      </c>
      <c r="L213" s="8"/>
      <c r="M213" s="8">
        <f>K213-I213</f>
        <v>120000</v>
      </c>
      <c r="P213">
        <f>IF(I213=0,0,1)</f>
        <v>1</v>
      </c>
      <c r="Q213">
        <f>IF(K213=0,0,1)</f>
        <v>1</v>
      </c>
      <c r="R213">
        <f>P213+Q213</f>
        <v>2</v>
      </c>
    </row>
    <row r="214" spans="1:18" hidden="1">
      <c r="B214" t="s">
        <v>16</v>
      </c>
      <c r="I214" s="9"/>
      <c r="J214" s="8"/>
      <c r="K214" s="9"/>
      <c r="L214" s="8"/>
      <c r="M214" s="9"/>
    </row>
    <row r="215" spans="1:18">
      <c r="B215" t="str">
        <f>IF(R215=0,"HIDE","SHOW")</f>
        <v>SHOW</v>
      </c>
      <c r="F215" s="3" t="str">
        <f>CONCATENATE("Total ",F212)</f>
        <v>Total Laboratory</v>
      </c>
      <c r="I215" s="10">
        <f>SUM(I213:I214)</f>
        <v>990000</v>
      </c>
      <c r="J215" s="11"/>
      <c r="K215" s="10">
        <f>SUM(K213:K214)</f>
        <v>1110000</v>
      </c>
      <c r="L215" s="11"/>
      <c r="M215" s="10">
        <f>K215-I215</f>
        <v>120000</v>
      </c>
      <c r="P215">
        <f>IF(I215=0,0,1)</f>
        <v>1</v>
      </c>
      <c r="Q215">
        <f>IF(K215=0,0,1)</f>
        <v>1</v>
      </c>
      <c r="R215">
        <f>P215+Q215</f>
        <v>2</v>
      </c>
    </row>
    <row r="216" spans="1:18">
      <c r="B216" t="str">
        <f>B215</f>
        <v>SHOW</v>
      </c>
      <c r="I216" s="8"/>
      <c r="J216" s="8"/>
      <c r="K216" s="8"/>
      <c r="L216" s="8"/>
      <c r="M216" s="8"/>
    </row>
    <row r="217" spans="1:18">
      <c r="B217" t="str">
        <f>B226</f>
        <v>SHOW</v>
      </c>
      <c r="C217">
        <v>42900</v>
      </c>
      <c r="F217" s="3" t="str">
        <f>"Recreation &amp; Other Rentals"</f>
        <v>Recreation &amp; Other Rentals</v>
      </c>
      <c r="I217" s="8"/>
      <c r="J217" s="8"/>
      <c r="K217" s="8"/>
      <c r="L217" s="8"/>
      <c r="M217" s="8"/>
    </row>
    <row r="218" spans="1:18">
      <c r="B218" t="str">
        <f>IF(R218=0,"HIDE","SHOW")</f>
        <v>SHOW</v>
      </c>
      <c r="C218" t="s">
        <v>37</v>
      </c>
      <c r="D218" t="str">
        <f>"""Mission ERP"",""GBRA"",""15"",""1"",""42901"""</f>
        <v>"Mission ERP","GBRA","15","1","42901"</v>
      </c>
      <c r="E218" t="str">
        <f>"42901"</f>
        <v>42901</v>
      </c>
      <c r="F218" t="str">
        <f>"REV-FACILITY RENTAL"</f>
        <v>REV-FACILITY RENTAL</v>
      </c>
      <c r="I218" s="8">
        <v>26000</v>
      </c>
      <c r="J218" s="8"/>
      <c r="K218" s="8">
        <v>25200</v>
      </c>
      <c r="L218" s="8"/>
      <c r="M218" s="8">
        <f>K218-I218</f>
        <v>-800</v>
      </c>
      <c r="P218">
        <f>IF(I218=0,0,1)</f>
        <v>1</v>
      </c>
      <c r="Q218">
        <f>IF(K218=0,0,1)</f>
        <v>1</v>
      </c>
      <c r="R218">
        <f>P218+Q218</f>
        <v>2</v>
      </c>
    </row>
    <row r="219" spans="1:18">
      <c r="A219" t="s">
        <v>26</v>
      </c>
      <c r="B219" t="str">
        <f t="shared" ref="B219:B224" si="50">IF(R219=0,"HIDE","SHOW")</f>
        <v>SHOW</v>
      </c>
      <c r="C219" t="s">
        <v>37</v>
      </c>
      <c r="D219" t="str">
        <f>"""Mission ERP"",""GBRA"",""15"",""1"",""42902"""</f>
        <v>"Mission ERP","GBRA","15","1","42902"</v>
      </c>
      <c r="E219" t="str">
        <f>"42902"</f>
        <v>42902</v>
      </c>
      <c r="F219" t="str">
        <f>"REV-PARK ENTRY FEES"</f>
        <v>REV-PARK ENTRY FEES</v>
      </c>
      <c r="I219" s="8">
        <v>1182025</v>
      </c>
      <c r="J219" s="8"/>
      <c r="K219" s="8">
        <v>1249000</v>
      </c>
      <c r="L219" s="8"/>
      <c r="M219" s="8">
        <f t="shared" ref="M219:M224" si="51">K219-I219</f>
        <v>66975</v>
      </c>
      <c r="P219">
        <f t="shared" ref="P219:P224" si="52">IF(I219=0,0,1)</f>
        <v>1</v>
      </c>
      <c r="Q219">
        <f t="shared" ref="Q219:Q224" si="53">IF(K219=0,0,1)</f>
        <v>1</v>
      </c>
      <c r="R219">
        <f t="shared" ref="R219:R224" si="54">P219+Q219</f>
        <v>2</v>
      </c>
    </row>
    <row r="220" spans="1:18">
      <c r="A220" t="s">
        <v>26</v>
      </c>
      <c r="B220" t="str">
        <f t="shared" si="50"/>
        <v>SHOW</v>
      </c>
      <c r="C220" t="s">
        <v>37</v>
      </c>
      <c r="D220" t="str">
        <f>"""Mission ERP"",""GBRA"",""15"",""1"",""42903"""</f>
        <v>"Mission ERP","GBRA","15","1","42903"</v>
      </c>
      <c r="E220" t="str">
        <f>"42903"</f>
        <v>42903</v>
      </c>
      <c r="F220" t="str">
        <f>"REV-CONCESSIONS/STORE CHARGES"</f>
        <v>REV-CONCESSIONS/STORE CHARGES</v>
      </c>
      <c r="I220" s="8">
        <v>15000</v>
      </c>
      <c r="J220" s="8"/>
      <c r="K220" s="8">
        <v>10000</v>
      </c>
      <c r="L220" s="8"/>
      <c r="M220" s="8">
        <f t="shared" si="51"/>
        <v>-5000</v>
      </c>
      <c r="P220">
        <f t="shared" si="52"/>
        <v>1</v>
      </c>
      <c r="Q220">
        <f t="shared" si="53"/>
        <v>1</v>
      </c>
      <c r="R220">
        <f t="shared" si="54"/>
        <v>2</v>
      </c>
    </row>
    <row r="221" spans="1:18">
      <c r="A221" t="s">
        <v>26</v>
      </c>
      <c r="B221" t="str">
        <f t="shared" si="50"/>
        <v>SHOW</v>
      </c>
      <c r="C221" t="s">
        <v>37</v>
      </c>
      <c r="D221" t="str">
        <f>"""Mission ERP"",""GBRA"",""15"",""1"",""42915"""</f>
        <v>"Mission ERP","GBRA","15","1","42915"</v>
      </c>
      <c r="E221" t="str">
        <f>"42915"</f>
        <v>42915</v>
      </c>
      <c r="F221" t="str">
        <f>"REV-SPONSORSHIPS/DONATIONS"</f>
        <v>REV-SPONSORSHIPS/DONATIONS</v>
      </c>
      <c r="I221" s="8">
        <v>8000</v>
      </c>
      <c r="J221" s="8"/>
      <c r="K221" s="8">
        <v>8000</v>
      </c>
      <c r="L221" s="8"/>
      <c r="M221" s="8">
        <f t="shared" si="51"/>
        <v>0</v>
      </c>
      <c r="P221">
        <f t="shared" si="52"/>
        <v>1</v>
      </c>
      <c r="Q221">
        <f t="shared" si="53"/>
        <v>1</v>
      </c>
      <c r="R221">
        <f t="shared" si="54"/>
        <v>2</v>
      </c>
    </row>
    <row r="222" spans="1:18">
      <c r="A222" t="s">
        <v>26</v>
      </c>
      <c r="B222" t="str">
        <f t="shared" si="50"/>
        <v>SHOW</v>
      </c>
      <c r="C222" t="s">
        <v>37</v>
      </c>
      <c r="D222" t="str">
        <f>"""Mission ERP"",""GBRA"",""15"",""1"",""42920"""</f>
        <v>"Mission ERP","GBRA","15","1","42920"</v>
      </c>
      <c r="E222" t="str">
        <f>"42920"</f>
        <v>42920</v>
      </c>
      <c r="F222" t="str">
        <f>"REV-HUNTING REVENUE"</f>
        <v>REV-HUNTING REVENUE</v>
      </c>
      <c r="I222" s="8">
        <v>20350</v>
      </c>
      <c r="J222" s="8"/>
      <c r="K222" s="8">
        <v>22000</v>
      </c>
      <c r="L222" s="8"/>
      <c r="M222" s="8">
        <f t="shared" si="51"/>
        <v>1650</v>
      </c>
      <c r="P222">
        <f t="shared" si="52"/>
        <v>1</v>
      </c>
      <c r="Q222">
        <f t="shared" si="53"/>
        <v>1</v>
      </c>
      <c r="R222">
        <f t="shared" si="54"/>
        <v>2</v>
      </c>
    </row>
    <row r="223" spans="1:18" hidden="1">
      <c r="A223" t="s">
        <v>26</v>
      </c>
      <c r="B223" t="str">
        <f t="shared" si="50"/>
        <v>HIDE</v>
      </c>
      <c r="C223" t="s">
        <v>37</v>
      </c>
      <c r="D223" t="str">
        <f>"""Mission ERP"",""GBRA"",""15"",""1"",""42921"""</f>
        <v>"Mission ERP","GBRA","15","1","42921"</v>
      </c>
      <c r="E223" t="str">
        <f>"42921"</f>
        <v>42921</v>
      </c>
      <c r="F223" t="str">
        <f>"REV-HYDRO HOUSE RENTALS"</f>
        <v>REV-HYDRO HOUSE RENTALS</v>
      </c>
      <c r="I223" s="8">
        <v>0</v>
      </c>
      <c r="J223" s="8"/>
      <c r="K223" s="8">
        <v>0</v>
      </c>
      <c r="L223" s="8"/>
      <c r="M223" s="8">
        <f t="shared" si="51"/>
        <v>0</v>
      </c>
      <c r="P223">
        <f t="shared" si="52"/>
        <v>0</v>
      </c>
      <c r="Q223">
        <f t="shared" si="53"/>
        <v>0</v>
      </c>
      <c r="R223">
        <f t="shared" si="54"/>
        <v>0</v>
      </c>
    </row>
    <row r="224" spans="1:18">
      <c r="A224" t="s">
        <v>26</v>
      </c>
      <c r="B224" t="str">
        <f t="shared" si="50"/>
        <v>SHOW</v>
      </c>
      <c r="C224" t="s">
        <v>37</v>
      </c>
      <c r="D224" t="str">
        <f>"""Mission ERP"",""GBRA"",""15"",""1"",""42922"""</f>
        <v>"Mission ERP","GBRA","15","1","42922"</v>
      </c>
      <c r="E224" t="str">
        <f>"42922"</f>
        <v>42922</v>
      </c>
      <c r="F224" t="str">
        <f>"REV-AG &amp; LAND USE"</f>
        <v>REV-AG &amp; LAND USE</v>
      </c>
      <c r="I224" s="8">
        <v>102500</v>
      </c>
      <c r="J224" s="8"/>
      <c r="K224" s="8">
        <v>98000</v>
      </c>
      <c r="L224" s="8"/>
      <c r="M224" s="8">
        <f t="shared" si="51"/>
        <v>-4500</v>
      </c>
      <c r="P224">
        <f t="shared" si="52"/>
        <v>1</v>
      </c>
      <c r="Q224">
        <f t="shared" si="53"/>
        <v>1</v>
      </c>
      <c r="R224">
        <f t="shared" si="54"/>
        <v>2</v>
      </c>
    </row>
    <row r="225" spans="1:18" hidden="1">
      <c r="B225" t="s">
        <v>16</v>
      </c>
      <c r="I225" s="9"/>
      <c r="J225" s="8"/>
      <c r="K225" s="9"/>
      <c r="L225" s="8"/>
      <c r="M225" s="9"/>
    </row>
    <row r="226" spans="1:18">
      <c r="B226" t="str">
        <f>IF(R226=0,"HIDE","SHOW")</f>
        <v>SHOW</v>
      </c>
      <c r="F226" s="3" t="str">
        <f>CONCATENATE("Total ",F217)</f>
        <v>Total Recreation &amp; Other Rentals</v>
      </c>
      <c r="I226" s="10">
        <f>SUM(I218:I225)</f>
        <v>1353875</v>
      </c>
      <c r="J226" s="11"/>
      <c r="K226" s="10">
        <f>SUM(K218:K225)</f>
        <v>1412200</v>
      </c>
      <c r="L226" s="11"/>
      <c r="M226" s="10">
        <f>K226-I226</f>
        <v>58325</v>
      </c>
      <c r="P226">
        <f>IF(I226=0,0,1)</f>
        <v>1</v>
      </c>
      <c r="Q226">
        <f>IF(K226=0,0,1)</f>
        <v>1</v>
      </c>
      <c r="R226">
        <f>P226+Q226</f>
        <v>2</v>
      </c>
    </row>
    <row r="227" spans="1:18">
      <c r="B227" t="str">
        <f>B226</f>
        <v>SHOW</v>
      </c>
      <c r="I227" s="8"/>
      <c r="J227" s="8"/>
      <c r="K227" s="8"/>
      <c r="L227" s="8"/>
      <c r="M227" s="8"/>
    </row>
    <row r="228" spans="1:18">
      <c r="B228" t="str">
        <f>B233</f>
        <v>SHOW</v>
      </c>
      <c r="C228">
        <v>43000</v>
      </c>
      <c r="F228" s="3" t="str">
        <f>"Internal Transfers"</f>
        <v>Internal Transfers</v>
      </c>
      <c r="I228" s="8"/>
      <c r="J228" s="8"/>
      <c r="K228" s="8"/>
      <c r="L228" s="8"/>
      <c r="M228" s="8"/>
    </row>
    <row r="229" spans="1:18">
      <c r="B229" t="str">
        <f>IF(R229=0,"HIDE","SHOW")</f>
        <v>SHOW</v>
      </c>
      <c r="C229" t="s">
        <v>38</v>
      </c>
      <c r="D229" t="str">
        <f>"""Mission ERP"",""GBRA"",""15"",""1"",""43001"""</f>
        <v>"Mission ERP","GBRA","15","1","43001"</v>
      </c>
      <c r="E229" t="str">
        <f>"43001"</f>
        <v>43001</v>
      </c>
      <c r="F229" t="str">
        <f>"REV-ADMIN &amp; GEN CHARGES"</f>
        <v>REV-ADMIN &amp; GEN CHARGES</v>
      </c>
      <c r="I229" s="8">
        <v>5225241</v>
      </c>
      <c r="J229" s="8"/>
      <c r="K229" s="8">
        <v>5898515</v>
      </c>
      <c r="L229" s="8"/>
      <c r="M229" s="8">
        <f>K229-I229</f>
        <v>673274</v>
      </c>
      <c r="P229">
        <f>IF(I229=0,0,1)</f>
        <v>1</v>
      </c>
      <c r="Q229">
        <f>IF(K229=0,0,1)</f>
        <v>1</v>
      </c>
      <c r="R229">
        <f>P229+Q229</f>
        <v>2</v>
      </c>
    </row>
    <row r="230" spans="1:18">
      <c r="A230" t="s">
        <v>26</v>
      </c>
      <c r="B230" t="str">
        <f t="shared" ref="B230:B231" si="55">IF(R230=0,"HIDE","SHOW")</f>
        <v>SHOW</v>
      </c>
      <c r="C230" t="s">
        <v>38</v>
      </c>
      <c r="D230" t="str">
        <f>"""Mission ERP"",""GBRA"",""15"",""1"",""43002"""</f>
        <v>"Mission ERP","GBRA","15","1","43002"</v>
      </c>
      <c r="E230" t="str">
        <f>"43002"</f>
        <v>43002</v>
      </c>
      <c r="F230" t="str">
        <f>"REV-BUILDING/EQUIP RENTAL"</f>
        <v>REV-BUILDING/EQUIP RENTAL</v>
      </c>
      <c r="I230" s="8">
        <v>409667</v>
      </c>
      <c r="J230" s="8"/>
      <c r="K230" s="8">
        <v>407667</v>
      </c>
      <c r="L230" s="8"/>
      <c r="M230" s="8">
        <f t="shared" ref="M230:M231" si="56">K230-I230</f>
        <v>-2000</v>
      </c>
      <c r="P230">
        <f t="shared" ref="P230:P231" si="57">IF(I230=0,0,1)</f>
        <v>1</v>
      </c>
      <c r="Q230">
        <f t="shared" ref="Q230:Q231" si="58">IF(K230=0,0,1)</f>
        <v>1</v>
      </c>
      <c r="R230">
        <f t="shared" ref="R230:R231" si="59">P230+Q230</f>
        <v>2</v>
      </c>
    </row>
    <row r="231" spans="1:18" hidden="1">
      <c r="A231" t="s">
        <v>26</v>
      </c>
      <c r="B231" t="str">
        <f t="shared" si="55"/>
        <v>HIDE</v>
      </c>
      <c r="C231" t="s">
        <v>38</v>
      </c>
      <c r="D231" t="str">
        <f>"""Mission ERP"",""GBRA"",""15"",""1"",""43003"""</f>
        <v>"Mission ERP","GBRA","15","1","43003"</v>
      </c>
      <c r="E231" t="str">
        <f>"43003"</f>
        <v>43003</v>
      </c>
      <c r="F231" t="str">
        <f>"REV-FLEET LEASE"</f>
        <v>REV-FLEET LEASE</v>
      </c>
      <c r="I231" s="8">
        <v>0</v>
      </c>
      <c r="J231" s="8"/>
      <c r="K231" s="8">
        <v>0</v>
      </c>
      <c r="L231" s="8"/>
      <c r="M231" s="8">
        <f t="shared" si="56"/>
        <v>0</v>
      </c>
      <c r="P231">
        <f t="shared" si="57"/>
        <v>0</v>
      </c>
      <c r="Q231">
        <f t="shared" si="58"/>
        <v>0</v>
      </c>
      <c r="R231">
        <f t="shared" si="59"/>
        <v>0</v>
      </c>
    </row>
    <row r="232" spans="1:18" hidden="1">
      <c r="B232" t="s">
        <v>16</v>
      </c>
      <c r="I232" s="9"/>
      <c r="J232" s="8"/>
      <c r="K232" s="9"/>
      <c r="L232" s="8"/>
      <c r="M232" s="9"/>
    </row>
    <row r="233" spans="1:18">
      <c r="B233" t="str">
        <f>IF(R233=0,"HIDE","SHOW")</f>
        <v>SHOW</v>
      </c>
      <c r="F233" s="3" t="str">
        <f>CONCATENATE("Total ",F228)</f>
        <v>Total Internal Transfers</v>
      </c>
      <c r="I233" s="10">
        <f>SUM(I229:I232)</f>
        <v>5634908</v>
      </c>
      <c r="J233" s="11"/>
      <c r="K233" s="10">
        <f>SUM(K229:K232)</f>
        <v>6306182</v>
      </c>
      <c r="L233" s="11"/>
      <c r="M233" s="10">
        <f>K233-I233</f>
        <v>671274</v>
      </c>
      <c r="P233">
        <f>IF(I233=0,0,1)</f>
        <v>1</v>
      </c>
      <c r="Q233">
        <f>IF(K233=0,0,1)</f>
        <v>1</v>
      </c>
      <c r="R233">
        <f>P233+Q233</f>
        <v>2</v>
      </c>
    </row>
    <row r="234" spans="1:18">
      <c r="B234" t="str">
        <f>B233</f>
        <v>SHOW</v>
      </c>
      <c r="I234" s="8"/>
      <c r="J234" s="8"/>
      <c r="K234" s="8"/>
      <c r="L234" s="8"/>
      <c r="M234" s="8"/>
    </row>
    <row r="235" spans="1:18">
      <c r="B235" t="str">
        <f>B246</f>
        <v>SHOW</v>
      </c>
      <c r="C235">
        <v>44100</v>
      </c>
      <c r="F235" s="3" t="str">
        <f>"Operating Interest"</f>
        <v>Operating Interest</v>
      </c>
      <c r="I235" s="8"/>
      <c r="J235" s="8"/>
      <c r="K235" s="8"/>
      <c r="L235" s="8"/>
      <c r="M235" s="8"/>
    </row>
    <row r="236" spans="1:18">
      <c r="B236" t="str">
        <f>IF(R236=0,"HIDE","SHOW")</f>
        <v>SHOW</v>
      </c>
      <c r="C236" t="s">
        <v>39</v>
      </c>
      <c r="D236" t="str">
        <f>"""Mission ERP"",""GBRA"",""15"",""1"",""44101"""</f>
        <v>"Mission ERP","GBRA","15","1","44101"</v>
      </c>
      <c r="E236" t="str">
        <f>"44101"</f>
        <v>44101</v>
      </c>
      <c r="F236" t="str">
        <f>"INT-OPR CASH ACCOUNTS"</f>
        <v>INT-OPR CASH ACCOUNTS</v>
      </c>
      <c r="I236" s="8">
        <v>212500</v>
      </c>
      <c r="J236" s="8"/>
      <c r="K236" s="8">
        <v>120000</v>
      </c>
      <c r="L236" s="8"/>
      <c r="M236" s="8">
        <f>K236-I236</f>
        <v>-92500</v>
      </c>
      <c r="P236">
        <f>IF(I236=0,0,1)</f>
        <v>1</v>
      </c>
      <c r="Q236">
        <f>IF(K236=0,0,1)</f>
        <v>1</v>
      </c>
      <c r="R236">
        <f>P236+Q236</f>
        <v>2</v>
      </c>
    </row>
    <row r="237" spans="1:18">
      <c r="A237" t="s">
        <v>26</v>
      </c>
      <c r="B237" t="str">
        <f t="shared" ref="B237:B244" si="60">IF(R237=0,"HIDE","SHOW")</f>
        <v>SHOW</v>
      </c>
      <c r="C237" t="s">
        <v>39</v>
      </c>
      <c r="D237" t="str">
        <f>"""Mission ERP"",""GBRA"",""15"",""1"",""44110"""</f>
        <v>"Mission ERP","GBRA","15","1","44110"</v>
      </c>
      <c r="E237" t="str">
        <f>"44110"</f>
        <v>44110</v>
      </c>
      <c r="F237" t="str">
        <f>"INT-OPR INVESTMENT FUNDS"</f>
        <v>INT-OPR INVESTMENT FUNDS</v>
      </c>
      <c r="I237" s="8">
        <v>1351288</v>
      </c>
      <c r="J237" s="8"/>
      <c r="K237" s="8">
        <v>927385</v>
      </c>
      <c r="L237" s="8"/>
      <c r="M237" s="8">
        <f t="shared" ref="M237:M244" si="61">K237-I237</f>
        <v>-423903</v>
      </c>
      <c r="P237">
        <f t="shared" ref="P237:P244" si="62">IF(I237=0,0,1)</f>
        <v>1</v>
      </c>
      <c r="Q237">
        <f t="shared" ref="Q237:Q244" si="63">IF(K237=0,0,1)</f>
        <v>1</v>
      </c>
      <c r="R237">
        <f t="shared" ref="R237:R244" si="64">P237+Q237</f>
        <v>2</v>
      </c>
    </row>
    <row r="238" spans="1:18" hidden="1">
      <c r="A238" t="s">
        <v>26</v>
      </c>
      <c r="B238" t="str">
        <f t="shared" si="60"/>
        <v>HIDE</v>
      </c>
      <c r="C238" t="s">
        <v>39</v>
      </c>
      <c r="D238" t="str">
        <f>"""Mission ERP"",""GBRA"",""15"",""1"",""44111"""</f>
        <v>"Mission ERP","GBRA","15","1","44111"</v>
      </c>
      <c r="E238" t="str">
        <f>"44111"</f>
        <v>44111</v>
      </c>
      <c r="F238" t="str">
        <f>"INT-INSURANCE FUND"</f>
        <v>INT-INSURANCE FUND</v>
      </c>
      <c r="I238" s="8">
        <v>0</v>
      </c>
      <c r="J238" s="8"/>
      <c r="K238" s="8">
        <v>0</v>
      </c>
      <c r="L238" s="8"/>
      <c r="M238" s="8">
        <f t="shared" si="61"/>
        <v>0</v>
      </c>
      <c r="P238">
        <f t="shared" si="62"/>
        <v>0</v>
      </c>
      <c r="Q238">
        <f t="shared" si="63"/>
        <v>0</v>
      </c>
      <c r="R238">
        <f t="shared" si="64"/>
        <v>0</v>
      </c>
    </row>
    <row r="239" spans="1:18" hidden="1">
      <c r="A239" t="s">
        <v>26</v>
      </c>
      <c r="B239" t="str">
        <f t="shared" si="60"/>
        <v>HIDE</v>
      </c>
      <c r="C239" t="s">
        <v>39</v>
      </c>
      <c r="D239" t="str">
        <f>"""Mission ERP"",""GBRA"",""15"",""1"",""44112"""</f>
        <v>"Mission ERP","GBRA","15","1","44112"</v>
      </c>
      <c r="E239" t="str">
        <f>"44112"</f>
        <v>44112</v>
      </c>
      <c r="F239" t="str">
        <f>"INT-WORKERS COMP FUND"</f>
        <v>INT-WORKERS COMP FUND</v>
      </c>
      <c r="I239" s="8">
        <v>0</v>
      </c>
      <c r="J239" s="8"/>
      <c r="K239" s="8">
        <v>0</v>
      </c>
      <c r="L239" s="8"/>
      <c r="M239" s="8">
        <f t="shared" si="61"/>
        <v>0</v>
      </c>
      <c r="P239">
        <f t="shared" si="62"/>
        <v>0</v>
      </c>
      <c r="Q239">
        <f t="shared" si="63"/>
        <v>0</v>
      </c>
      <c r="R239">
        <f t="shared" si="64"/>
        <v>0</v>
      </c>
    </row>
    <row r="240" spans="1:18" hidden="1">
      <c r="A240" t="s">
        <v>26</v>
      </c>
      <c r="B240" t="str">
        <f t="shared" si="60"/>
        <v>HIDE</v>
      </c>
      <c r="C240" t="s">
        <v>39</v>
      </c>
      <c r="D240" t="str">
        <f>"""Mission ERP"",""GBRA"",""15"",""1"",""44113"""</f>
        <v>"Mission ERP","GBRA","15","1","44113"</v>
      </c>
      <c r="E240" t="str">
        <f>"44113"</f>
        <v>44113</v>
      </c>
      <c r="F240" t="str">
        <f>"INT-PROPERTY RESERVE FUND"</f>
        <v>INT-PROPERTY RESERVE FUND</v>
      </c>
      <c r="I240" s="8">
        <v>0</v>
      </c>
      <c r="J240" s="8"/>
      <c r="K240" s="8">
        <v>0</v>
      </c>
      <c r="L240" s="8"/>
      <c r="M240" s="8">
        <f t="shared" si="61"/>
        <v>0</v>
      </c>
      <c r="P240">
        <f t="shared" si="62"/>
        <v>0</v>
      </c>
      <c r="Q240">
        <f t="shared" si="63"/>
        <v>0</v>
      </c>
      <c r="R240">
        <f t="shared" si="64"/>
        <v>0</v>
      </c>
    </row>
    <row r="241" spans="1:18" hidden="1">
      <c r="A241" t="s">
        <v>26</v>
      </c>
      <c r="B241" t="str">
        <f t="shared" si="60"/>
        <v>HIDE</v>
      </c>
      <c r="C241" t="s">
        <v>39</v>
      </c>
      <c r="D241" t="str">
        <f>"""Mission ERP"",""GBRA"",""15"",""1"",""44114"""</f>
        <v>"Mission ERP","GBRA","15","1","44114"</v>
      </c>
      <c r="E241" t="str">
        <f>"44114"</f>
        <v>44114</v>
      </c>
      <c r="F241" t="str">
        <f>"INT-SAFEKEEPING FUND"</f>
        <v>INT-SAFEKEEPING FUND</v>
      </c>
      <c r="I241" s="8">
        <v>0</v>
      </c>
      <c r="J241" s="8"/>
      <c r="K241" s="8">
        <v>0</v>
      </c>
      <c r="L241" s="8"/>
      <c r="M241" s="8">
        <f t="shared" si="61"/>
        <v>0</v>
      </c>
      <c r="P241">
        <f t="shared" si="62"/>
        <v>0</v>
      </c>
      <c r="Q241">
        <f t="shared" si="63"/>
        <v>0</v>
      </c>
      <c r="R241">
        <f t="shared" si="64"/>
        <v>0</v>
      </c>
    </row>
    <row r="242" spans="1:18" hidden="1">
      <c r="A242" t="s">
        <v>26</v>
      </c>
      <c r="B242" t="str">
        <f t="shared" si="60"/>
        <v>HIDE</v>
      </c>
      <c r="C242" t="s">
        <v>39</v>
      </c>
      <c r="D242" t="str">
        <f>"""Mission ERP"",""GBRA"",""15"",""1"",""44115"""</f>
        <v>"Mission ERP","GBRA","15","1","44115"</v>
      </c>
      <c r="E242" t="str">
        <f>"44115"</f>
        <v>44115</v>
      </c>
      <c r="F242" t="str">
        <f>"INT-LU/LO OPR FUND"</f>
        <v>INT-LU/LO OPR FUND</v>
      </c>
      <c r="I242" s="8">
        <v>0</v>
      </c>
      <c r="J242" s="8"/>
      <c r="K242" s="8">
        <v>0</v>
      </c>
      <c r="L242" s="8"/>
      <c r="M242" s="8">
        <f t="shared" si="61"/>
        <v>0</v>
      </c>
      <c r="P242">
        <f t="shared" si="62"/>
        <v>0</v>
      </c>
      <c r="Q242">
        <f t="shared" si="63"/>
        <v>0</v>
      </c>
      <c r="R242">
        <f t="shared" si="64"/>
        <v>0</v>
      </c>
    </row>
    <row r="243" spans="1:18" hidden="1">
      <c r="A243" t="s">
        <v>26</v>
      </c>
      <c r="B243" t="str">
        <f t="shared" si="60"/>
        <v>HIDE</v>
      </c>
      <c r="C243" t="s">
        <v>39</v>
      </c>
      <c r="D243" t="str">
        <f>"""Mission ERP"",""GBRA"",""15"",""1"",""44116"""</f>
        <v>"Mission ERP","GBRA","15","1","44116"</v>
      </c>
      <c r="E243" t="str">
        <f>"44116"</f>
        <v>44116</v>
      </c>
      <c r="F243" t="str">
        <f>"INT-UNEMPLOYMENT FUND"</f>
        <v>INT-UNEMPLOYMENT FUND</v>
      </c>
      <c r="I243" s="8">
        <v>0</v>
      </c>
      <c r="J243" s="8"/>
      <c r="K243" s="8">
        <v>0</v>
      </c>
      <c r="L243" s="8"/>
      <c r="M243" s="8">
        <f t="shared" si="61"/>
        <v>0</v>
      </c>
      <c r="P243">
        <f t="shared" si="62"/>
        <v>0</v>
      </c>
      <c r="Q243">
        <f t="shared" si="63"/>
        <v>0</v>
      </c>
      <c r="R243">
        <f t="shared" si="64"/>
        <v>0</v>
      </c>
    </row>
    <row r="244" spans="1:18" hidden="1">
      <c r="A244" t="s">
        <v>26</v>
      </c>
      <c r="B244" t="str">
        <f t="shared" si="60"/>
        <v>HIDE</v>
      </c>
      <c r="C244" t="s">
        <v>39</v>
      </c>
      <c r="D244" t="str">
        <f>"""Mission ERP"",""GBRA"",""15"",""1"",""44198"""</f>
        <v>"Mission ERP","GBRA","15","1","44198"</v>
      </c>
      <c r="E244" t="str">
        <f>"44198"</f>
        <v>44198</v>
      </c>
      <c r="F244" t="str">
        <f>"INT-ADJ TO MKT VALUE"</f>
        <v>INT-ADJ TO MKT VALUE</v>
      </c>
      <c r="I244" s="8">
        <v>0</v>
      </c>
      <c r="J244" s="8"/>
      <c r="K244" s="8">
        <v>0</v>
      </c>
      <c r="L244" s="8"/>
      <c r="M244" s="8">
        <f t="shared" si="61"/>
        <v>0</v>
      </c>
      <c r="P244">
        <f t="shared" si="62"/>
        <v>0</v>
      </c>
      <c r="Q244">
        <f t="shared" si="63"/>
        <v>0</v>
      </c>
      <c r="R244">
        <f t="shared" si="64"/>
        <v>0</v>
      </c>
    </row>
    <row r="245" spans="1:18" hidden="1">
      <c r="B245" t="s">
        <v>16</v>
      </c>
      <c r="I245" s="9"/>
      <c r="J245" s="8"/>
      <c r="K245" s="9"/>
      <c r="L245" s="8"/>
      <c r="M245" s="9"/>
    </row>
    <row r="246" spans="1:18">
      <c r="B246" t="str">
        <f>IF(R246=0,"HIDE","SHOW")</f>
        <v>SHOW</v>
      </c>
      <c r="F246" s="3" t="str">
        <f>CONCATENATE("Total ",F235)</f>
        <v>Total Operating Interest</v>
      </c>
      <c r="I246" s="10">
        <f>SUM(I236:I245)</f>
        <v>1563788</v>
      </c>
      <c r="J246" s="11"/>
      <c r="K246" s="10">
        <f>SUM(K236:K245)</f>
        <v>1047385</v>
      </c>
      <c r="L246" s="11"/>
      <c r="M246" s="10">
        <f>K246-I246</f>
        <v>-516403</v>
      </c>
      <c r="P246">
        <f>IF(I246=0,0,1)</f>
        <v>1</v>
      </c>
      <c r="Q246">
        <f>IF(K246=0,0,1)</f>
        <v>1</v>
      </c>
      <c r="R246">
        <f>P246+Q246</f>
        <v>2</v>
      </c>
    </row>
    <row r="247" spans="1:18">
      <c r="B247" t="str">
        <f>B246</f>
        <v>SHOW</v>
      </c>
      <c r="I247" s="8"/>
      <c r="J247" s="8"/>
      <c r="K247" s="8"/>
      <c r="L247" s="8"/>
      <c r="M247" s="13"/>
    </row>
    <row r="248" spans="1:18" hidden="1">
      <c r="B248" t="str">
        <f>B298</f>
        <v>HIDE</v>
      </c>
      <c r="C248">
        <v>44200</v>
      </c>
      <c r="F248" s="3" t="str">
        <f>"Restricted Interest"</f>
        <v>Restricted Interest</v>
      </c>
      <c r="I248" s="8"/>
      <c r="J248" s="8"/>
      <c r="K248" s="8"/>
      <c r="L248" s="8"/>
      <c r="M248" s="8"/>
    </row>
    <row r="249" spans="1:18" hidden="1">
      <c r="B249" t="str">
        <f>IF(R249=0,"HIDE","SHOW")</f>
        <v>HIDE</v>
      </c>
      <c r="C249" t="s">
        <v>40</v>
      </c>
      <c r="D249" t="str">
        <f>"""Mission ERP"",""GBRA"",""15"",""1"",""44201"""</f>
        <v>"Mission ERP","GBRA","15","1","44201"</v>
      </c>
      <c r="E249" t="str">
        <f>"44201"</f>
        <v>44201</v>
      </c>
      <c r="F249" t="str">
        <f>"INT-RESTRICTED FUNDS"</f>
        <v>INT-RESTRICTED FUNDS</v>
      </c>
      <c r="I249" s="8">
        <v>0</v>
      </c>
      <c r="J249" s="8"/>
      <c r="K249" s="8">
        <v>0</v>
      </c>
      <c r="L249" s="8"/>
      <c r="M249" s="13">
        <f>K249-I249</f>
        <v>0</v>
      </c>
      <c r="P249">
        <f>IF(I249=0,0,1)</f>
        <v>0</v>
      </c>
      <c r="Q249">
        <f>IF(K249=0,0,1)</f>
        <v>0</v>
      </c>
      <c r="R249">
        <f>P249+Q249</f>
        <v>0</v>
      </c>
    </row>
    <row r="250" spans="1:18" hidden="1">
      <c r="A250" t="s">
        <v>26</v>
      </c>
      <c r="B250" t="str">
        <f t="shared" ref="B250:B296" si="65">IF(R250=0,"HIDE","SHOW")</f>
        <v>HIDE</v>
      </c>
      <c r="C250" t="s">
        <v>40</v>
      </c>
      <c r="D250" t="str">
        <f>"""Mission ERP"",""GBRA"",""15"",""1"",""44202"""</f>
        <v>"Mission ERP","GBRA","15","1","44202"</v>
      </c>
      <c r="E250" t="str">
        <f>"44202"</f>
        <v>44202</v>
      </c>
      <c r="F250" t="str">
        <f>"INT-CAPITAL FUNDS"</f>
        <v>INT-CAPITAL FUNDS</v>
      </c>
      <c r="I250" s="8">
        <v>0</v>
      </c>
      <c r="J250" s="8"/>
      <c r="K250" s="8">
        <v>0</v>
      </c>
      <c r="L250" s="8"/>
      <c r="M250" s="13">
        <f t="shared" ref="M250:M296" si="66">K250-I250</f>
        <v>0</v>
      </c>
      <c r="P250">
        <f t="shared" ref="P250:P296" si="67">IF(I250=0,0,1)</f>
        <v>0</v>
      </c>
      <c r="Q250">
        <f t="shared" ref="Q250:Q296" si="68">IF(K250=0,0,1)</f>
        <v>0</v>
      </c>
      <c r="R250">
        <f t="shared" ref="R250:R296" si="69">P250+Q250</f>
        <v>0</v>
      </c>
    </row>
    <row r="251" spans="1:18" hidden="1">
      <c r="A251" t="s">
        <v>26</v>
      </c>
      <c r="B251" t="str">
        <f t="shared" si="65"/>
        <v>HIDE</v>
      </c>
      <c r="C251" t="s">
        <v>40</v>
      </c>
      <c r="D251" t="str">
        <f>"""Mission ERP"",""GBRA"",""15"",""1"",""44203"""</f>
        <v>"Mission ERP","GBRA","15","1","44203"</v>
      </c>
      <c r="E251" t="str">
        <f>"44203"</f>
        <v>44203</v>
      </c>
      <c r="F251" t="str">
        <f>"INT-CITY OF SEGUIN N/R"</f>
        <v>INT-CITY OF SEGUIN N/R</v>
      </c>
      <c r="I251" s="8">
        <v>0</v>
      </c>
      <c r="J251" s="8"/>
      <c r="K251" s="8">
        <v>0</v>
      </c>
      <c r="L251" s="8"/>
      <c r="M251" s="13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</row>
    <row r="252" spans="1:18" hidden="1">
      <c r="A252" t="s">
        <v>26</v>
      </c>
      <c r="B252" t="str">
        <f t="shared" si="65"/>
        <v>HIDE</v>
      </c>
      <c r="C252" t="s">
        <v>40</v>
      </c>
      <c r="D252" t="str">
        <f>"""Mission ERP"",""GBRA"",""15"",""1"",""44204"""</f>
        <v>"Mission ERP","GBRA","15","1","44204"</v>
      </c>
      <c r="E252" t="str">
        <f>"44204"</f>
        <v>44204</v>
      </c>
      <c r="F252" t="str">
        <f>"INT-2007 RRWDS I&amp;S"</f>
        <v>INT-2007 RRWDS I&amp;S</v>
      </c>
      <c r="I252" s="8">
        <v>0</v>
      </c>
      <c r="J252" s="8"/>
      <c r="K252" s="8">
        <v>0</v>
      </c>
      <c r="L252" s="8"/>
      <c r="M252" s="13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</row>
    <row r="253" spans="1:18" hidden="1">
      <c r="A253" t="s">
        <v>26</v>
      </c>
      <c r="B253" t="str">
        <f t="shared" si="65"/>
        <v>HIDE</v>
      </c>
      <c r="C253" t="s">
        <v>40</v>
      </c>
      <c r="D253" t="str">
        <f>"""Mission ERP"",""GBRA"",""15"",""1"",""44205"""</f>
        <v>"Mission ERP","GBRA","15","1","44205"</v>
      </c>
      <c r="E253" t="str">
        <f>"44205"</f>
        <v>44205</v>
      </c>
      <c r="F253" t="str">
        <f>"INT-2007 RRWDS RATE STAB FUND"</f>
        <v>INT-2007 RRWDS RATE STAB FUND</v>
      </c>
      <c r="I253" s="8">
        <v>0</v>
      </c>
      <c r="J253" s="8"/>
      <c r="K253" s="8">
        <v>0</v>
      </c>
      <c r="L253" s="8"/>
      <c r="M253" s="13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>
      <c r="A254" t="s">
        <v>26</v>
      </c>
      <c r="B254" t="str">
        <f t="shared" si="65"/>
        <v>HIDE</v>
      </c>
      <c r="C254" t="s">
        <v>40</v>
      </c>
      <c r="D254" t="str">
        <f>"""Mission ERP"",""GBRA"",""15"",""1"",""44206"""</f>
        <v>"Mission ERP","GBRA","15","1","44206"</v>
      </c>
      <c r="E254" t="str">
        <f>"44206"</f>
        <v>44206</v>
      </c>
      <c r="F254" t="str">
        <f>"INT-2011 GEN IMP BONDS"</f>
        <v>INT-2011 GEN IMP BONDS</v>
      </c>
      <c r="I254" s="8">
        <v>0</v>
      </c>
      <c r="J254" s="8"/>
      <c r="K254" s="8">
        <v>0</v>
      </c>
      <c r="L254" s="8"/>
      <c r="M254" s="13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hidden="1">
      <c r="A255" t="s">
        <v>26</v>
      </c>
      <c r="B255" t="str">
        <f t="shared" si="65"/>
        <v>HIDE</v>
      </c>
      <c r="C255" t="s">
        <v>40</v>
      </c>
      <c r="D255" t="str">
        <f>"""Mission ERP"",""GBRA"",""15"",""1"",""44207"""</f>
        <v>"Mission ERP","GBRA","15","1","44207"</v>
      </c>
      <c r="E255" t="str">
        <f>"44207"</f>
        <v>44207</v>
      </c>
      <c r="F255" t="str">
        <f>"INT-2012 STEIN FALLS RESERVE FUND"</f>
        <v>INT-2012 STEIN FALLS RESERVE FUND</v>
      </c>
      <c r="I255" s="8">
        <v>0</v>
      </c>
      <c r="J255" s="8"/>
      <c r="K255" s="8">
        <v>0</v>
      </c>
      <c r="L255" s="8"/>
      <c r="M255" s="13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</row>
    <row r="256" spans="1:18" hidden="1">
      <c r="A256" t="s">
        <v>26</v>
      </c>
      <c r="B256" t="str">
        <f t="shared" si="65"/>
        <v>HIDE</v>
      </c>
      <c r="C256" t="s">
        <v>40</v>
      </c>
      <c r="D256" t="str">
        <f>"""Mission ERP"",""GBRA"",""15"",""1"",""44208"""</f>
        <v>"Mission ERP","GBRA","15","1","44208"</v>
      </c>
      <c r="E256" t="str">
        <f>"44208"</f>
        <v>44208</v>
      </c>
      <c r="F256" t="str">
        <f>"INT-2012 STEIN FALLS I&amp;S FUND"</f>
        <v>INT-2012 STEIN FALLS I&amp;S FUND</v>
      </c>
      <c r="I256" s="8">
        <v>0</v>
      </c>
      <c r="J256" s="8"/>
      <c r="K256" s="8">
        <v>0</v>
      </c>
      <c r="L256" s="8"/>
      <c r="M256" s="13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</row>
    <row r="257" spans="1:18" hidden="1">
      <c r="A257" t="s">
        <v>26</v>
      </c>
      <c r="B257" t="str">
        <f t="shared" si="65"/>
        <v>HIDE</v>
      </c>
      <c r="C257" t="s">
        <v>40</v>
      </c>
      <c r="D257" t="str">
        <f>"""Mission ERP"",""GBRA"",""15"",""1"",""44209"""</f>
        <v>"Mission ERP","GBRA","15","1","44209"</v>
      </c>
      <c r="E257" t="str">
        <f>"44209"</f>
        <v>44209</v>
      </c>
      <c r="F257" t="str">
        <f>"INT-2012 MID-BASIN RESERVE"</f>
        <v>INT-2012 MID-BASIN RESERVE</v>
      </c>
      <c r="I257" s="8">
        <v>0</v>
      </c>
      <c r="J257" s="8"/>
      <c r="K257" s="8">
        <v>0</v>
      </c>
      <c r="L257" s="8"/>
      <c r="M257" s="13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</row>
    <row r="258" spans="1:18" hidden="1">
      <c r="A258" t="s">
        <v>26</v>
      </c>
      <c r="B258" t="str">
        <f t="shared" si="65"/>
        <v>HIDE</v>
      </c>
      <c r="C258" t="s">
        <v>40</v>
      </c>
      <c r="D258" t="str">
        <f>"""Mission ERP"",""GBRA"",""15"",""1"",""44210"""</f>
        <v>"Mission ERP","GBRA","15","1","44210"</v>
      </c>
      <c r="E258" t="str">
        <f>"44210"</f>
        <v>44210</v>
      </c>
      <c r="F258" t="str">
        <f>"INT-2012 MID-BASIN I&amp;S"</f>
        <v>INT-2012 MID-BASIN I&amp;S</v>
      </c>
      <c r="I258" s="8">
        <v>0</v>
      </c>
      <c r="J258" s="8"/>
      <c r="K258" s="8">
        <v>0</v>
      </c>
      <c r="L258" s="8"/>
      <c r="M258" s="13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</row>
    <row r="259" spans="1:18" hidden="1">
      <c r="A259" t="s">
        <v>26</v>
      </c>
      <c r="B259" t="str">
        <f t="shared" si="65"/>
        <v>HIDE</v>
      </c>
      <c r="C259" t="s">
        <v>40</v>
      </c>
      <c r="D259" t="str">
        <f>"""Mission ERP"",""GBRA"",""15"",""1"",""44211"""</f>
        <v>"Mission ERP","GBRA","15","1","44211"</v>
      </c>
      <c r="E259" t="str">
        <f>"44211"</f>
        <v>44211</v>
      </c>
      <c r="F259" t="str">
        <f>"INT-2013 IH35 I&amp;S FUND"</f>
        <v>INT-2013 IH35 I&amp;S FUND</v>
      </c>
      <c r="I259" s="8">
        <v>0</v>
      </c>
      <c r="J259" s="8"/>
      <c r="K259" s="8">
        <v>0</v>
      </c>
      <c r="L259" s="8"/>
      <c r="M259" s="13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</row>
    <row r="260" spans="1:18" hidden="1">
      <c r="A260" t="s">
        <v>26</v>
      </c>
      <c r="B260" t="str">
        <f t="shared" si="65"/>
        <v>HIDE</v>
      </c>
      <c r="C260" t="s">
        <v>40</v>
      </c>
      <c r="D260" t="str">
        <f>"""Mission ERP"",""GBRA"",""15"",""1"",""44212"""</f>
        <v>"Mission ERP","GBRA","15","1","44212"</v>
      </c>
      <c r="E260" t="str">
        <f>"44212"</f>
        <v>44212</v>
      </c>
      <c r="F260" t="str">
        <f>"INT-2013 IH35 RESERVE FUND"</f>
        <v>INT-2013 IH35 RESERVE FUND</v>
      </c>
      <c r="I260" s="8">
        <v>0</v>
      </c>
      <c r="J260" s="8"/>
      <c r="K260" s="8">
        <v>0</v>
      </c>
      <c r="L260" s="8"/>
      <c r="M260" s="13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</row>
    <row r="261" spans="1:18" hidden="1">
      <c r="A261" t="s">
        <v>26</v>
      </c>
      <c r="B261" t="str">
        <f t="shared" si="65"/>
        <v>HIDE</v>
      </c>
      <c r="C261" t="s">
        <v>40</v>
      </c>
      <c r="D261" t="str">
        <f>"""Mission ERP"",""GBRA"",""15"",""1"",""44213"""</f>
        <v>"Mission ERP","GBRA","15","1","44213"</v>
      </c>
      <c r="E261" t="str">
        <f>"44213"</f>
        <v>44213</v>
      </c>
      <c r="F261" t="str">
        <f>"INT-2020 WCANYON I&amp;S FUND"</f>
        <v>INT-2020 WCANYON I&amp;S FUND</v>
      </c>
      <c r="I261" s="8">
        <v>0</v>
      </c>
      <c r="J261" s="8"/>
      <c r="K261" s="8">
        <v>0</v>
      </c>
      <c r="L261" s="8"/>
      <c r="M261" s="13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</row>
    <row r="262" spans="1:18" hidden="1">
      <c r="A262" t="s">
        <v>26</v>
      </c>
      <c r="B262" t="str">
        <f t="shared" si="65"/>
        <v>HIDE</v>
      </c>
      <c r="C262" t="s">
        <v>40</v>
      </c>
      <c r="D262" t="str">
        <f>"""Mission ERP"",""GBRA"",""15"",""1"",""44214"""</f>
        <v>"Mission ERP","GBRA","15","1","44214"</v>
      </c>
      <c r="E262" t="str">
        <f>"44214"</f>
        <v>44214</v>
      </c>
      <c r="F262" t="str">
        <f>"INT-2020 WCANYON RATE STAB FUND"</f>
        <v>INT-2020 WCANYON RATE STAB FUND</v>
      </c>
      <c r="I262" s="8">
        <v>0</v>
      </c>
      <c r="J262" s="8"/>
      <c r="K262" s="8">
        <v>0</v>
      </c>
      <c r="L262" s="8"/>
      <c r="M262" s="13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</row>
    <row r="263" spans="1:18" hidden="1">
      <c r="A263" t="s">
        <v>26</v>
      </c>
      <c r="B263" t="str">
        <f t="shared" si="65"/>
        <v>HIDE</v>
      </c>
      <c r="C263" t="s">
        <v>40</v>
      </c>
      <c r="D263" t="str">
        <f>"""Mission ERP"",""GBRA"",""15"",""1"",""44215"""</f>
        <v>"Mission ERP","GBRA","15","1","44215"</v>
      </c>
      <c r="E263" t="str">
        <f>"44215"</f>
        <v>44215</v>
      </c>
      <c r="F263" t="str">
        <f>"INT-2013 IH35 RATE STAB FUND"</f>
        <v>INT-2013 IH35 RATE STAB FUND</v>
      </c>
      <c r="I263" s="8">
        <v>0</v>
      </c>
      <c r="J263" s="8"/>
      <c r="K263" s="8">
        <v>0</v>
      </c>
      <c r="L263" s="8"/>
      <c r="M263" s="13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</row>
    <row r="264" spans="1:18" hidden="1">
      <c r="A264" t="s">
        <v>26</v>
      </c>
      <c r="B264" t="str">
        <f t="shared" si="65"/>
        <v>HIDE</v>
      </c>
      <c r="C264" t="s">
        <v>40</v>
      </c>
      <c r="D264" t="str">
        <f>"""Mission ERP"",""GBRA"",""15"",""1"",""44216"""</f>
        <v>"Mission ERP","GBRA","15","1","44216"</v>
      </c>
      <c r="E264" t="str">
        <f>"44216"</f>
        <v>44216</v>
      </c>
      <c r="F264" t="str">
        <f>"INT-2014 LU/LO I&amp;S FUND"</f>
        <v>INT-2014 LU/LO I&amp;S FUND</v>
      </c>
      <c r="I264" s="8">
        <v>0</v>
      </c>
      <c r="J264" s="8"/>
      <c r="K264" s="8">
        <v>0</v>
      </c>
      <c r="L264" s="8"/>
      <c r="M264" s="13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</row>
    <row r="265" spans="1:18" hidden="1">
      <c r="A265" t="s">
        <v>26</v>
      </c>
      <c r="B265" t="str">
        <f t="shared" si="65"/>
        <v>HIDE</v>
      </c>
      <c r="C265" t="s">
        <v>40</v>
      </c>
      <c r="D265" t="str">
        <f>"""Mission ERP"",""GBRA"",""15"",""1"",""44217"""</f>
        <v>"Mission ERP","GBRA","15","1","44217"</v>
      </c>
      <c r="E265" t="str">
        <f>"44217"</f>
        <v>44217</v>
      </c>
      <c r="F265" t="str">
        <f>"INT-2016 SMWTP I&amp;S "</f>
        <v xml:space="preserve">INT-2016 SMWTP I&amp;S </v>
      </c>
      <c r="I265" s="8">
        <v>0</v>
      </c>
      <c r="J265" s="8"/>
      <c r="K265" s="8">
        <v>0</v>
      </c>
      <c r="L265" s="8"/>
      <c r="M265" s="13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</row>
    <row r="266" spans="1:18" hidden="1">
      <c r="A266" t="s">
        <v>26</v>
      </c>
      <c r="B266" t="str">
        <f t="shared" si="65"/>
        <v>HIDE</v>
      </c>
      <c r="C266" t="s">
        <v>40</v>
      </c>
      <c r="D266" t="str">
        <f>"""Mission ERP"",""GBRA"",""15"",""1"",""44218"""</f>
        <v>"Mission ERP","GBRA","15","1","44218"</v>
      </c>
      <c r="E266" t="str">
        <f>"44218"</f>
        <v>44218</v>
      </c>
      <c r="F266" t="str">
        <f>"INT-2017-2023 CARRIZO GRNDWTR CONSTRUCTION/ESCROW"</f>
        <v>INT-2017-2023 CARRIZO GRNDWTR CONSTRUCTION/ESCROW</v>
      </c>
      <c r="I266" s="8">
        <v>0</v>
      </c>
      <c r="J266" s="8"/>
      <c r="K266" s="8">
        <v>0</v>
      </c>
      <c r="L266" s="8"/>
      <c r="M266" s="13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</row>
    <row r="267" spans="1:18" hidden="1">
      <c r="A267" t="s">
        <v>26</v>
      </c>
      <c r="B267" t="str">
        <f t="shared" si="65"/>
        <v>HIDE</v>
      </c>
      <c r="C267" t="s">
        <v>40</v>
      </c>
      <c r="D267" t="str">
        <f>"""Mission ERP"",""GBRA"",""15"",""1"",""44219"""</f>
        <v>"Mission ERP","GBRA","15","1","44219"</v>
      </c>
      <c r="E267" t="str">
        <f>"44219"</f>
        <v>44219</v>
      </c>
      <c r="F267" t="str">
        <f>"INT-2020 WCANYON AERATION"</f>
        <v>INT-2020 WCANYON AERATION</v>
      </c>
      <c r="I267" s="8">
        <v>0</v>
      </c>
      <c r="J267" s="8"/>
      <c r="K267" s="8">
        <v>0</v>
      </c>
      <c r="L267" s="8"/>
      <c r="M267" s="13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</row>
    <row r="268" spans="1:18" hidden="1">
      <c r="A268" t="s">
        <v>26</v>
      </c>
      <c r="B268" t="str">
        <f t="shared" si="65"/>
        <v>HIDE</v>
      </c>
      <c r="C268" t="s">
        <v>40</v>
      </c>
      <c r="D268" t="str">
        <f>"""Mission ERP"",""GBRA"",""15"",""1"",""44220"""</f>
        <v>"Mission ERP","GBRA","15","1","44220"</v>
      </c>
      <c r="E268" t="str">
        <f>"44220"</f>
        <v>44220</v>
      </c>
      <c r="F268" t="str">
        <f>"INT-2018-23 CARRIZO GRNDWTR I&amp;S (TWDB)"</f>
        <v>INT-2018-23 CARRIZO GRNDWTR I&amp;S (TWDB)</v>
      </c>
      <c r="I268" s="8">
        <v>0</v>
      </c>
      <c r="J268" s="8"/>
      <c r="K268" s="8">
        <v>0</v>
      </c>
      <c r="L268" s="8"/>
      <c r="M268" s="13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</row>
    <row r="269" spans="1:18" hidden="1">
      <c r="A269" t="s">
        <v>26</v>
      </c>
      <c r="B269" t="str">
        <f t="shared" si="65"/>
        <v>HIDE</v>
      </c>
      <c r="C269" t="s">
        <v>40</v>
      </c>
      <c r="D269" t="str">
        <f>"""Mission ERP"",""GBRA"",""15"",""1"",""44221"""</f>
        <v>"Mission ERP","GBRA","15","1","44221"</v>
      </c>
      <c r="E269" t="str">
        <f>"44221"</f>
        <v>44221</v>
      </c>
      <c r="F269" t="str">
        <f>"INT-2015 GEN IMPR ESCROW (SWIFT)"</f>
        <v>INT-2015 GEN IMPR ESCROW (SWIFT)</v>
      </c>
      <c r="I269" s="8">
        <v>0</v>
      </c>
      <c r="J269" s="8"/>
      <c r="K269" s="8">
        <v>0</v>
      </c>
      <c r="L269" s="8"/>
      <c r="M269" s="13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</row>
    <row r="270" spans="1:18" hidden="1">
      <c r="A270" t="s">
        <v>26</v>
      </c>
      <c r="B270" t="str">
        <f t="shared" si="65"/>
        <v>HIDE</v>
      </c>
      <c r="C270" t="s">
        <v>40</v>
      </c>
      <c r="D270" t="str">
        <f>"""Mission ERP"",""GBRA"",""15"",""1"",""44222"""</f>
        <v>"Mission ERP","GBRA","15","1","44222"</v>
      </c>
      <c r="E270" t="str">
        <f>"44222"</f>
        <v>44222</v>
      </c>
      <c r="F270" t="str">
        <f>"INT-LAKE DUNLAP DAM CONST"</f>
        <v>INT-LAKE DUNLAP DAM CONST</v>
      </c>
      <c r="I270" s="8">
        <v>0</v>
      </c>
      <c r="J270" s="8"/>
      <c r="K270" s="8">
        <v>0</v>
      </c>
      <c r="L270" s="8"/>
      <c r="M270" s="13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</row>
    <row r="271" spans="1:18" hidden="1">
      <c r="A271" t="s">
        <v>26</v>
      </c>
      <c r="B271" t="str">
        <f t="shared" si="65"/>
        <v>HIDE</v>
      </c>
      <c r="C271" t="s">
        <v>40</v>
      </c>
      <c r="D271" t="str">
        <f>"""Mission ERP"",""GBRA"",""15"",""1"",""44223"""</f>
        <v>"Mission ERP","GBRA","15","1","44223"</v>
      </c>
      <c r="E271" t="str">
        <f>"44223"</f>
        <v>44223</v>
      </c>
      <c r="F271" t="str">
        <f>"INT-LAKE DUNLAP I&amp;S"</f>
        <v>INT-LAKE DUNLAP I&amp;S</v>
      </c>
      <c r="I271" s="8">
        <v>0</v>
      </c>
      <c r="J271" s="8"/>
      <c r="K271" s="8">
        <v>0</v>
      </c>
      <c r="L271" s="8"/>
      <c r="M271" s="13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</row>
    <row r="272" spans="1:18" hidden="1">
      <c r="A272" t="s">
        <v>26</v>
      </c>
      <c r="B272" t="str">
        <f t="shared" si="65"/>
        <v>HIDE</v>
      </c>
      <c r="C272" t="s">
        <v>40</v>
      </c>
      <c r="D272" t="str">
        <f>"""Mission ERP"",""GBRA"",""15"",""1"",""44224"""</f>
        <v>"Mission ERP","GBRA","15","1","44224"</v>
      </c>
      <c r="E272" t="str">
        <f>"44224"</f>
        <v>44224</v>
      </c>
      <c r="F272" t="str">
        <f>"INT-LAKE McQUEENEY DAM CONST"</f>
        <v>INT-LAKE McQUEENEY DAM CONST</v>
      </c>
      <c r="I272" s="8">
        <v>0</v>
      </c>
      <c r="J272" s="8"/>
      <c r="K272" s="8">
        <v>0</v>
      </c>
      <c r="L272" s="8"/>
      <c r="M272" s="13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</row>
    <row r="273" spans="1:18" hidden="1">
      <c r="A273" t="s">
        <v>26</v>
      </c>
      <c r="B273" t="str">
        <f t="shared" si="65"/>
        <v>HIDE</v>
      </c>
      <c r="C273" t="s">
        <v>40</v>
      </c>
      <c r="D273" t="str">
        <f>"""Mission ERP"",""GBRA"",""15"",""1"",""44225"""</f>
        <v>"Mission ERP","GBRA","15","1","44225"</v>
      </c>
      <c r="E273" t="str">
        <f>"44225"</f>
        <v>44225</v>
      </c>
      <c r="F273" t="str">
        <f>"INT-LAKE McQUEENEY DAM I&amp;S"</f>
        <v>INT-LAKE McQUEENEY DAM I&amp;S</v>
      </c>
      <c r="I273" s="8">
        <v>0</v>
      </c>
      <c r="J273" s="8"/>
      <c r="K273" s="8">
        <v>0</v>
      </c>
      <c r="L273" s="8"/>
      <c r="M273" s="13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</row>
    <row r="274" spans="1:18" hidden="1">
      <c r="A274" t="s">
        <v>26</v>
      </c>
      <c r="B274" t="str">
        <f t="shared" si="65"/>
        <v>HIDE</v>
      </c>
      <c r="C274" t="s">
        <v>40</v>
      </c>
      <c r="D274" t="str">
        <f>"""Mission ERP"",""GBRA"",""15"",""1"",""44226"""</f>
        <v>"Mission ERP","GBRA","15","1","44226"</v>
      </c>
      <c r="E274" t="str">
        <f>"44226"</f>
        <v>44226</v>
      </c>
      <c r="F274" t="str">
        <f>"INT-LAKE PLACID DAM CONST"</f>
        <v>INT-LAKE PLACID DAM CONST</v>
      </c>
      <c r="I274" s="8">
        <v>0</v>
      </c>
      <c r="J274" s="8"/>
      <c r="K274" s="8">
        <v>0</v>
      </c>
      <c r="L274" s="8"/>
      <c r="M274" s="13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</row>
    <row r="275" spans="1:18" hidden="1">
      <c r="A275" t="s">
        <v>26</v>
      </c>
      <c r="B275" t="str">
        <f t="shared" si="65"/>
        <v>HIDE</v>
      </c>
      <c r="C275" t="s">
        <v>40</v>
      </c>
      <c r="D275" t="str">
        <f>"""Mission ERP"",""GBRA"",""15"",""1"",""44227"""</f>
        <v>"Mission ERP","GBRA","15","1","44227"</v>
      </c>
      <c r="E275" t="str">
        <f>"44227"</f>
        <v>44227</v>
      </c>
      <c r="F275" t="str">
        <f>"INT-LAKE PLACID DAM I&amp;S"</f>
        <v>INT-LAKE PLACID DAM I&amp;S</v>
      </c>
      <c r="I275" s="8">
        <v>0</v>
      </c>
      <c r="J275" s="8"/>
      <c r="K275" s="8">
        <v>0</v>
      </c>
      <c r="L275" s="8"/>
      <c r="M275" s="13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</row>
    <row r="276" spans="1:18" hidden="1">
      <c r="A276" t="s">
        <v>26</v>
      </c>
      <c r="B276" t="str">
        <f t="shared" si="65"/>
        <v>HIDE</v>
      </c>
      <c r="C276" t="s">
        <v>40</v>
      </c>
      <c r="D276" t="str">
        <f>"""Mission ERP"",""GBRA"",""15"",""1"",""44228"""</f>
        <v>"Mission ERP","GBRA","15","1","44228"</v>
      </c>
      <c r="E276" t="str">
        <f>"44228"</f>
        <v>44228</v>
      </c>
      <c r="F276" t="str">
        <f>"INT-2021 STEIN FALLS CONSTRUCTION"</f>
        <v>INT-2021 STEIN FALLS CONSTRUCTION</v>
      </c>
      <c r="I276" s="8">
        <v>0</v>
      </c>
      <c r="J276" s="8"/>
      <c r="K276" s="8">
        <v>0</v>
      </c>
      <c r="L276" s="8"/>
      <c r="M276" s="13">
        <f t="shared" si="66"/>
        <v>0</v>
      </c>
      <c r="P276">
        <f t="shared" si="67"/>
        <v>0</v>
      </c>
      <c r="Q276">
        <f t="shared" si="68"/>
        <v>0</v>
      </c>
      <c r="R276">
        <f t="shared" si="69"/>
        <v>0</v>
      </c>
    </row>
    <row r="277" spans="1:18" hidden="1">
      <c r="A277" t="s">
        <v>26</v>
      </c>
      <c r="B277" t="str">
        <f t="shared" si="65"/>
        <v>HIDE</v>
      </c>
      <c r="C277" t="s">
        <v>40</v>
      </c>
      <c r="D277" t="str">
        <f>"""Mission ERP"",""GBRA"",""15"",""1"",""44229"""</f>
        <v>"Mission ERP","GBRA","15","1","44229"</v>
      </c>
      <c r="E277" t="str">
        <f>"44229"</f>
        <v>44229</v>
      </c>
      <c r="F277" t="str">
        <f>"INT-2021 DIETZ CONSTRUCTION"</f>
        <v>INT-2021 DIETZ CONSTRUCTION</v>
      </c>
      <c r="I277" s="8">
        <v>0</v>
      </c>
      <c r="J277" s="8"/>
      <c r="K277" s="8">
        <v>0</v>
      </c>
      <c r="L277" s="8"/>
      <c r="M277" s="13">
        <f t="shared" si="66"/>
        <v>0</v>
      </c>
      <c r="P277">
        <f t="shared" si="67"/>
        <v>0</v>
      </c>
      <c r="Q277">
        <f t="shared" si="68"/>
        <v>0</v>
      </c>
      <c r="R277">
        <f t="shared" si="69"/>
        <v>0</v>
      </c>
    </row>
    <row r="278" spans="1:18" hidden="1">
      <c r="A278" t="s">
        <v>26</v>
      </c>
      <c r="B278" t="str">
        <f t="shared" si="65"/>
        <v>HIDE</v>
      </c>
      <c r="C278" t="s">
        <v>40</v>
      </c>
      <c r="D278" t="str">
        <f>"""Mission ERP"",""GBRA"",""15"",""1"",""44230"""</f>
        <v>"Mission ERP","GBRA","15","1","44230"</v>
      </c>
      <c r="E278" t="str">
        <f>"44230"</f>
        <v>44230</v>
      </c>
      <c r="F278" t="str">
        <f>"INT-2021 STEIN FALLS/DIETZ I&amp;S"</f>
        <v>INT-2021 STEIN FALLS/DIETZ I&amp;S</v>
      </c>
      <c r="I278" s="8">
        <v>0</v>
      </c>
      <c r="J278" s="8"/>
      <c r="K278" s="8">
        <v>0</v>
      </c>
      <c r="L278" s="8"/>
      <c r="M278" s="13">
        <f t="shared" si="66"/>
        <v>0</v>
      </c>
      <c r="P278">
        <f t="shared" si="67"/>
        <v>0</v>
      </c>
      <c r="Q278">
        <f t="shared" si="68"/>
        <v>0</v>
      </c>
      <c r="R278">
        <f t="shared" si="69"/>
        <v>0</v>
      </c>
    </row>
    <row r="279" spans="1:18" hidden="1">
      <c r="A279" t="s">
        <v>26</v>
      </c>
      <c r="B279" t="str">
        <f t="shared" si="65"/>
        <v>HIDE</v>
      </c>
      <c r="C279" t="s">
        <v>40</v>
      </c>
      <c r="D279" t="str">
        <f>"""Mission ERP"",""GBRA"",""15"",""1"",""44231"""</f>
        <v>"Mission ERP","GBRA","15","1","44231"</v>
      </c>
      <c r="E279" t="str">
        <f>"44231"</f>
        <v>44231</v>
      </c>
      <c r="F279" t="str">
        <f>"INT-2022 NB OFFICE CONSTRUCTION"</f>
        <v>INT-2022 NB OFFICE CONSTRUCTION</v>
      </c>
      <c r="I279" s="8">
        <v>0</v>
      </c>
      <c r="J279" s="8"/>
      <c r="K279" s="8">
        <v>0</v>
      </c>
      <c r="L279" s="8"/>
      <c r="M279" s="13">
        <f t="shared" si="66"/>
        <v>0</v>
      </c>
      <c r="P279">
        <f t="shared" si="67"/>
        <v>0</v>
      </c>
      <c r="Q279">
        <f t="shared" si="68"/>
        <v>0</v>
      </c>
      <c r="R279">
        <f t="shared" si="69"/>
        <v>0</v>
      </c>
    </row>
    <row r="280" spans="1:18" hidden="1">
      <c r="A280" t="s">
        <v>26</v>
      </c>
      <c r="B280" t="str">
        <f t="shared" si="65"/>
        <v>HIDE</v>
      </c>
      <c r="C280" t="s">
        <v>40</v>
      </c>
      <c r="D280" t="str">
        <f>"""Mission ERP"",""GBRA"",""15"",""1"",""44232"""</f>
        <v>"Mission ERP","GBRA","15","1","44232"</v>
      </c>
      <c r="E280" t="str">
        <f>"44232"</f>
        <v>44232</v>
      </c>
      <c r="F280" t="str">
        <f>"INT-2022 NB OFFICE I&amp;S"</f>
        <v>INT-2022 NB OFFICE I&amp;S</v>
      </c>
      <c r="I280" s="8">
        <v>0</v>
      </c>
      <c r="J280" s="8"/>
      <c r="K280" s="8">
        <v>0</v>
      </c>
      <c r="L280" s="8"/>
      <c r="M280" s="13">
        <f t="shared" si="66"/>
        <v>0</v>
      </c>
      <c r="P280">
        <f t="shared" si="67"/>
        <v>0</v>
      </c>
      <c r="Q280">
        <f t="shared" si="68"/>
        <v>0</v>
      </c>
      <c r="R280">
        <f t="shared" si="69"/>
        <v>0</v>
      </c>
    </row>
    <row r="281" spans="1:18" hidden="1">
      <c r="A281" t="s">
        <v>26</v>
      </c>
      <c r="B281" t="str">
        <f t="shared" si="65"/>
        <v>HIDE</v>
      </c>
      <c r="C281" t="s">
        <v>40</v>
      </c>
      <c r="D281" t="str">
        <f>"""Mission ERP"",""GBRA"",""15"",""1"",""44233"""</f>
        <v>"Mission ERP","GBRA","15","1","44233"</v>
      </c>
      <c r="E281" t="str">
        <f>"44233"</f>
        <v>44233</v>
      </c>
      <c r="F281" t="str">
        <f>"INT-2022 SUNFIELD WW CONSTRUCTION"</f>
        <v>INT-2022 SUNFIELD WW CONSTRUCTION</v>
      </c>
      <c r="I281" s="8">
        <v>0</v>
      </c>
      <c r="J281" s="8"/>
      <c r="K281" s="8">
        <v>0</v>
      </c>
      <c r="L281" s="8"/>
      <c r="M281" s="13">
        <f t="shared" si="66"/>
        <v>0</v>
      </c>
      <c r="P281">
        <f t="shared" si="67"/>
        <v>0</v>
      </c>
      <c r="Q281">
        <f t="shared" si="68"/>
        <v>0</v>
      </c>
      <c r="R281">
        <f t="shared" si="69"/>
        <v>0</v>
      </c>
    </row>
    <row r="282" spans="1:18" hidden="1">
      <c r="A282" t="s">
        <v>26</v>
      </c>
      <c r="B282" t="str">
        <f t="shared" si="65"/>
        <v>HIDE</v>
      </c>
      <c r="C282" t="s">
        <v>40</v>
      </c>
      <c r="D282" t="str">
        <f>"""Mission ERP"",""GBRA"",""15"",""1"",""44234"""</f>
        <v>"Mission ERP","GBRA","15","1","44234"</v>
      </c>
      <c r="E282" t="str">
        <f>"44234"</f>
        <v>44234</v>
      </c>
      <c r="F282" t="str">
        <f>"INT-2022 SUNFIELD WW I&amp;S"</f>
        <v>INT-2022 SUNFIELD WW I&amp;S</v>
      </c>
      <c r="I282" s="8">
        <v>0</v>
      </c>
      <c r="J282" s="8"/>
      <c r="K282" s="8">
        <v>0</v>
      </c>
      <c r="L282" s="8"/>
      <c r="M282" s="13">
        <f t="shared" si="66"/>
        <v>0</v>
      </c>
      <c r="P282">
        <f t="shared" si="67"/>
        <v>0</v>
      </c>
      <c r="Q282">
        <f t="shared" si="68"/>
        <v>0</v>
      </c>
      <c r="R282">
        <f t="shared" si="69"/>
        <v>0</v>
      </c>
    </row>
    <row r="283" spans="1:18" hidden="1">
      <c r="A283" t="s">
        <v>26</v>
      </c>
      <c r="B283" t="str">
        <f t="shared" si="65"/>
        <v>HIDE</v>
      </c>
      <c r="C283" t="s">
        <v>40</v>
      </c>
      <c r="D283" t="str">
        <f>"""Mission ERP"",""GBRA"",""15"",""1"",""44235"""</f>
        <v>"Mission ERP","GBRA","15","1","44235"</v>
      </c>
      <c r="E283" t="str">
        <f>"44235"</f>
        <v>44235</v>
      </c>
      <c r="F283" t="str">
        <f>"INT-2022 SW BARRIER CONSTRUCTION"</f>
        <v>INT-2022 SW BARRIER CONSTRUCTION</v>
      </c>
      <c r="I283" s="8">
        <v>0</v>
      </c>
      <c r="J283" s="8"/>
      <c r="K283" s="8">
        <v>0</v>
      </c>
      <c r="L283" s="8"/>
      <c r="M283" s="13">
        <f t="shared" si="66"/>
        <v>0</v>
      </c>
      <c r="P283">
        <f t="shared" si="67"/>
        <v>0</v>
      </c>
      <c r="Q283">
        <f t="shared" si="68"/>
        <v>0</v>
      </c>
      <c r="R283">
        <f t="shared" si="69"/>
        <v>0</v>
      </c>
    </row>
    <row r="284" spans="1:18" hidden="1">
      <c r="A284" t="s">
        <v>26</v>
      </c>
      <c r="B284" t="str">
        <f t="shared" si="65"/>
        <v>HIDE</v>
      </c>
      <c r="C284" t="s">
        <v>40</v>
      </c>
      <c r="D284" t="str">
        <f>"""Mission ERP"",""GBRA"",""15"",""1"",""44236"""</f>
        <v>"Mission ERP","GBRA","15","1","44236"</v>
      </c>
      <c r="E284" t="str">
        <f>"44236"</f>
        <v>44236</v>
      </c>
      <c r="F284" t="str">
        <f>"INT-2022 SW BARRIER I&amp;S"</f>
        <v>INT-2022 SW BARRIER I&amp;S</v>
      </c>
      <c r="I284" s="8">
        <v>0</v>
      </c>
      <c r="J284" s="8"/>
      <c r="K284" s="8">
        <v>0</v>
      </c>
      <c r="L284" s="8"/>
      <c r="M284" s="13">
        <f t="shared" si="66"/>
        <v>0</v>
      </c>
      <c r="P284">
        <f t="shared" si="67"/>
        <v>0</v>
      </c>
      <c r="Q284">
        <f t="shared" si="68"/>
        <v>0</v>
      </c>
      <c r="R284">
        <f t="shared" si="69"/>
        <v>0</v>
      </c>
    </row>
    <row r="285" spans="1:18" hidden="1">
      <c r="A285" t="s">
        <v>26</v>
      </c>
      <c r="B285" t="str">
        <f t="shared" si="65"/>
        <v>HIDE</v>
      </c>
      <c r="C285" t="s">
        <v>40</v>
      </c>
      <c r="D285" t="str">
        <f>"""Mission ERP"",""GBRA"",""15"",""1"",""44237"""</f>
        <v>"Mission ERP","GBRA","15","1","44237"</v>
      </c>
      <c r="E285" t="str">
        <f>"44237"</f>
        <v>44237</v>
      </c>
      <c r="F285" t="str">
        <f>"INT-2015 IWPP"</f>
        <v>INT-2015 IWPP</v>
      </c>
      <c r="I285" s="8">
        <v>0</v>
      </c>
      <c r="J285" s="8"/>
      <c r="K285" s="8">
        <v>0</v>
      </c>
      <c r="L285" s="8"/>
      <c r="M285" s="13">
        <f t="shared" si="66"/>
        <v>0</v>
      </c>
      <c r="P285">
        <f t="shared" si="67"/>
        <v>0</v>
      </c>
      <c r="Q285">
        <f t="shared" si="68"/>
        <v>0</v>
      </c>
      <c r="R285">
        <f t="shared" si="69"/>
        <v>0</v>
      </c>
    </row>
    <row r="286" spans="1:18" hidden="1">
      <c r="A286" t="s">
        <v>26</v>
      </c>
      <c r="B286" t="str">
        <f t="shared" si="65"/>
        <v>HIDE</v>
      </c>
      <c r="C286" t="s">
        <v>40</v>
      </c>
      <c r="D286" t="str">
        <f>"""Mission ERP"",""GBRA"",""15"",""1"",""44238"""</f>
        <v>"Mission ERP","GBRA","15","1","44238"</v>
      </c>
      <c r="E286" t="str">
        <f>"44238"</f>
        <v>44238</v>
      </c>
      <c r="F286" t="str">
        <f>"INT-2024 STEIN FALLS CONSTRUCTION"</f>
        <v>INT-2024 STEIN FALLS CONSTRUCTION</v>
      </c>
      <c r="I286" s="8">
        <v>0</v>
      </c>
      <c r="J286" s="8"/>
      <c r="K286" s="8">
        <v>0</v>
      </c>
      <c r="L286" s="8"/>
      <c r="M286" s="13">
        <f t="shared" si="66"/>
        <v>0</v>
      </c>
      <c r="P286">
        <f t="shared" si="67"/>
        <v>0</v>
      </c>
      <c r="Q286">
        <f t="shared" si="68"/>
        <v>0</v>
      </c>
      <c r="R286">
        <f t="shared" si="69"/>
        <v>0</v>
      </c>
    </row>
    <row r="287" spans="1:18" hidden="1">
      <c r="A287" t="s">
        <v>26</v>
      </c>
      <c r="B287" t="str">
        <f t="shared" si="65"/>
        <v>HIDE</v>
      </c>
      <c r="C287" t="s">
        <v>40</v>
      </c>
      <c r="D287" t="str">
        <f>"""Mission ERP"",""GBRA"",""15"",""1"",""44239"""</f>
        <v>"Mission ERP","GBRA","15","1","44239"</v>
      </c>
      <c r="E287" t="str">
        <f>"44239"</f>
        <v>44239</v>
      </c>
      <c r="F287" t="str">
        <f>"INT-2024 STEIN FALLS I&amp;S"</f>
        <v>INT-2024 STEIN FALLS I&amp;S</v>
      </c>
      <c r="I287" s="8">
        <v>0</v>
      </c>
      <c r="J287" s="8"/>
      <c r="K287" s="8">
        <v>0</v>
      </c>
      <c r="L287" s="8"/>
      <c r="M287" s="13">
        <f t="shared" si="66"/>
        <v>0</v>
      </c>
      <c r="P287">
        <f t="shared" si="67"/>
        <v>0</v>
      </c>
      <c r="Q287">
        <f t="shared" si="68"/>
        <v>0</v>
      </c>
      <c r="R287">
        <f t="shared" si="69"/>
        <v>0</v>
      </c>
    </row>
    <row r="288" spans="1:18" hidden="1">
      <c r="A288" t="s">
        <v>26</v>
      </c>
      <c r="B288" t="str">
        <f t="shared" si="65"/>
        <v>HIDE</v>
      </c>
      <c r="C288" t="s">
        <v>40</v>
      </c>
      <c r="D288" t="str">
        <f>"""Mission ERP"",""GBRA"",""15"",""1"",""44240"""</f>
        <v>"Mission ERP","GBRA","15","1","44240"</v>
      </c>
      <c r="E288" t="str">
        <f>"44240"</f>
        <v>44240</v>
      </c>
      <c r="F288" t="str">
        <f>"INT-ARBITRAGE, LK McQUEENEY"</f>
        <v>INT-ARBITRAGE, LK McQUEENEY</v>
      </c>
      <c r="I288" s="8">
        <v>0</v>
      </c>
      <c r="J288" s="8"/>
      <c r="K288" s="8">
        <v>0</v>
      </c>
      <c r="L288" s="8"/>
      <c r="M288" s="13">
        <f t="shared" si="66"/>
        <v>0</v>
      </c>
      <c r="P288">
        <f t="shared" si="67"/>
        <v>0</v>
      </c>
      <c r="Q288">
        <f t="shared" si="68"/>
        <v>0</v>
      </c>
      <c r="R288">
        <f t="shared" si="69"/>
        <v>0</v>
      </c>
    </row>
    <row r="289" spans="1:18" hidden="1">
      <c r="A289" t="s">
        <v>26</v>
      </c>
      <c r="B289" t="str">
        <f t="shared" si="65"/>
        <v>HIDE</v>
      </c>
      <c r="C289" t="s">
        <v>40</v>
      </c>
      <c r="D289" t="str">
        <f>"""Mission ERP"",""GBRA"",""15"",""1"",""44241"""</f>
        <v>"Mission ERP","GBRA","15","1","44241"</v>
      </c>
      <c r="E289" t="str">
        <f>"44241"</f>
        <v>44241</v>
      </c>
      <c r="F289" t="str">
        <f>"INT-ARBITRAGE, Lk PLACID"</f>
        <v>INT-ARBITRAGE, Lk PLACID</v>
      </c>
      <c r="I289" s="8">
        <v>0</v>
      </c>
      <c r="J289" s="8"/>
      <c r="K289" s="8">
        <v>0</v>
      </c>
      <c r="L289" s="8"/>
      <c r="M289" s="13">
        <f t="shared" si="66"/>
        <v>0</v>
      </c>
      <c r="P289">
        <f t="shared" si="67"/>
        <v>0</v>
      </c>
      <c r="Q289">
        <f t="shared" si="68"/>
        <v>0</v>
      </c>
      <c r="R289">
        <f t="shared" si="69"/>
        <v>0</v>
      </c>
    </row>
    <row r="290" spans="1:18" hidden="1">
      <c r="A290" t="s">
        <v>26</v>
      </c>
      <c r="B290" t="str">
        <f t="shared" si="65"/>
        <v>HIDE</v>
      </c>
      <c r="C290" t="s">
        <v>40</v>
      </c>
      <c r="D290" t="str">
        <f>"""Mission ERP"",""GBRA"",""15"",""1"",""44242"""</f>
        <v>"Mission ERP","GBRA","15","1","44242"</v>
      </c>
      <c r="E290" t="str">
        <f>"44242"</f>
        <v>44242</v>
      </c>
      <c r="F290" t="str">
        <f>"INT-2025 RRWDS VFD, CASH FUNDED"</f>
        <v>INT-2025 RRWDS VFD, CASH FUNDED</v>
      </c>
      <c r="I290" s="8">
        <v>0</v>
      </c>
      <c r="J290" s="8"/>
      <c r="K290" s="8">
        <v>0</v>
      </c>
      <c r="L290" s="8"/>
      <c r="M290" s="13">
        <f t="shared" si="66"/>
        <v>0</v>
      </c>
      <c r="P290">
        <f t="shared" si="67"/>
        <v>0</v>
      </c>
      <c r="Q290">
        <f t="shared" si="68"/>
        <v>0</v>
      </c>
      <c r="R290">
        <f t="shared" si="69"/>
        <v>0</v>
      </c>
    </row>
    <row r="291" spans="1:18" hidden="1">
      <c r="A291" t="s">
        <v>26</v>
      </c>
      <c r="B291" t="str">
        <f t="shared" si="65"/>
        <v>HIDE</v>
      </c>
      <c r="C291" t="s">
        <v>40</v>
      </c>
      <c r="D291" t="str">
        <f>"""Mission ERP"",""GBRA"",""15"",""1"",""44243"""</f>
        <v>"Mission ERP","GBRA","15","1","44243"</v>
      </c>
      <c r="E291" t="str">
        <f>"44243"</f>
        <v>44243</v>
      </c>
      <c r="F291" t="str">
        <f>"INT-2025 RRWDS VFD, DEBT FUNDED"</f>
        <v>INT-2025 RRWDS VFD, DEBT FUNDED</v>
      </c>
      <c r="I291" s="8">
        <v>0</v>
      </c>
      <c r="J291" s="8"/>
      <c r="K291" s="8">
        <v>0</v>
      </c>
      <c r="L291" s="8"/>
      <c r="M291" s="13">
        <f t="shared" si="66"/>
        <v>0</v>
      </c>
      <c r="P291">
        <f t="shared" si="67"/>
        <v>0</v>
      </c>
      <c r="Q291">
        <f t="shared" si="68"/>
        <v>0</v>
      </c>
      <c r="R291">
        <f t="shared" si="69"/>
        <v>0</v>
      </c>
    </row>
    <row r="292" spans="1:18" hidden="1">
      <c r="A292" t="s">
        <v>26</v>
      </c>
      <c r="B292" t="str">
        <f t="shared" si="65"/>
        <v>HIDE</v>
      </c>
      <c r="C292" t="s">
        <v>40</v>
      </c>
      <c r="D292" t="str">
        <f>"""Mission ERP"",""GBRA"",""15"",""1"",""44244"""</f>
        <v>"Mission ERP","GBRA","15","1","44244"</v>
      </c>
      <c r="E292" t="str">
        <f>"44244"</f>
        <v>44244</v>
      </c>
      <c r="F292" t="str">
        <f>"INT-2025 RRWDS VFD, I&amp;S"</f>
        <v>INT-2025 RRWDS VFD, I&amp;S</v>
      </c>
      <c r="I292" s="8">
        <v>0</v>
      </c>
      <c r="J292" s="8"/>
      <c r="K292" s="8">
        <v>0</v>
      </c>
      <c r="L292" s="8"/>
      <c r="M292" s="13">
        <f t="shared" si="66"/>
        <v>0</v>
      </c>
      <c r="P292">
        <f t="shared" si="67"/>
        <v>0</v>
      </c>
      <c r="Q292">
        <f t="shared" si="68"/>
        <v>0</v>
      </c>
      <c r="R292">
        <f t="shared" si="69"/>
        <v>0</v>
      </c>
    </row>
    <row r="293" spans="1:18" hidden="1">
      <c r="A293" t="s">
        <v>26</v>
      </c>
      <c r="B293" t="str">
        <f t="shared" si="65"/>
        <v>HIDE</v>
      </c>
      <c r="C293" t="s">
        <v>40</v>
      </c>
      <c r="D293" t="str">
        <f>"""Mission ERP"",""GBRA"",""15"",""1"",""44245"""</f>
        <v>"Mission ERP","GBRA","15","1","44245"</v>
      </c>
      <c r="E293" t="str">
        <f>"44245"</f>
        <v>44245</v>
      </c>
      <c r="F293" t="str">
        <f>"INT-LK McQ WCID CONSTRUCTION"</f>
        <v>INT-LK McQ WCID CONSTRUCTION</v>
      </c>
      <c r="I293" s="8">
        <v>0</v>
      </c>
      <c r="J293" s="8"/>
      <c r="K293" s="8">
        <v>0</v>
      </c>
      <c r="L293" s="8"/>
      <c r="M293" s="13">
        <f t="shared" si="66"/>
        <v>0</v>
      </c>
      <c r="P293">
        <f t="shared" si="67"/>
        <v>0</v>
      </c>
      <c r="Q293">
        <f t="shared" si="68"/>
        <v>0</v>
      </c>
      <c r="R293">
        <f t="shared" si="69"/>
        <v>0</v>
      </c>
    </row>
    <row r="294" spans="1:18" hidden="1">
      <c r="A294" t="s">
        <v>26</v>
      </c>
      <c r="B294" t="str">
        <f t="shared" si="65"/>
        <v>HIDE</v>
      </c>
      <c r="C294" t="s">
        <v>40</v>
      </c>
      <c r="D294" t="str">
        <f>"""Mission ERP"",""GBRA"",""15"",""1"",""44246"""</f>
        <v>"Mission ERP","GBRA","15","1","44246"</v>
      </c>
      <c r="E294" t="str">
        <f>"44246"</f>
        <v>44246</v>
      </c>
      <c r="F294" t="str">
        <f>"INT-LK PLACID WCID CONSTRUCTION"</f>
        <v>INT-LK PLACID WCID CONSTRUCTION</v>
      </c>
      <c r="I294" s="8">
        <v>0</v>
      </c>
      <c r="J294" s="8"/>
      <c r="K294" s="8">
        <v>0</v>
      </c>
      <c r="L294" s="8"/>
      <c r="M294" s="13">
        <f t="shared" si="66"/>
        <v>0</v>
      </c>
      <c r="P294">
        <f t="shared" si="67"/>
        <v>0</v>
      </c>
      <c r="Q294">
        <f t="shared" si="68"/>
        <v>0</v>
      </c>
      <c r="R294">
        <f t="shared" si="69"/>
        <v>0</v>
      </c>
    </row>
    <row r="295" spans="1:18" hidden="1">
      <c r="A295" t="s">
        <v>26</v>
      </c>
      <c r="B295" t="str">
        <f t="shared" si="65"/>
        <v>HIDE</v>
      </c>
      <c r="C295" t="s">
        <v>40</v>
      </c>
      <c r="D295" t="str">
        <f>"""Mission ERP"",""GBRA"",""15"",""1"",""44290"""</f>
        <v>"Mission ERP","GBRA","15","1","44290"</v>
      </c>
      <c r="E295" t="str">
        <f>"44290"</f>
        <v>44290</v>
      </c>
      <c r="F295" t="str">
        <f>"INT-FULLY FUNDED ACCOUNT"</f>
        <v>INT-FULLY FUNDED ACCOUNT</v>
      </c>
      <c r="I295" s="8">
        <v>0</v>
      </c>
      <c r="J295" s="8"/>
      <c r="K295" s="8">
        <v>0</v>
      </c>
      <c r="L295" s="8"/>
      <c r="M295" s="13">
        <f t="shared" si="66"/>
        <v>0</v>
      </c>
      <c r="P295">
        <f t="shared" si="67"/>
        <v>0</v>
      </c>
      <c r="Q295">
        <f t="shared" si="68"/>
        <v>0</v>
      </c>
      <c r="R295">
        <f t="shared" si="69"/>
        <v>0</v>
      </c>
    </row>
    <row r="296" spans="1:18" hidden="1">
      <c r="A296" t="s">
        <v>26</v>
      </c>
      <c r="B296" t="str">
        <f t="shared" si="65"/>
        <v>HIDE</v>
      </c>
      <c r="C296" t="s">
        <v>40</v>
      </c>
      <c r="D296" t="str">
        <f>"""Mission ERP"",""GBRA"",""15"",""1"",""44298"""</f>
        <v>"Mission ERP","GBRA","15","1","44298"</v>
      </c>
      <c r="E296" t="str">
        <f>"44298"</f>
        <v>44298</v>
      </c>
      <c r="F296" t="str">
        <f>"INT-ADJ TO MKT VALUE"</f>
        <v>INT-ADJ TO MKT VALUE</v>
      </c>
      <c r="I296" s="8">
        <v>0</v>
      </c>
      <c r="J296" s="8"/>
      <c r="K296" s="8">
        <v>0</v>
      </c>
      <c r="L296" s="8"/>
      <c r="M296" s="13">
        <f t="shared" si="66"/>
        <v>0</v>
      </c>
      <c r="P296">
        <f t="shared" si="67"/>
        <v>0</v>
      </c>
      <c r="Q296">
        <f t="shared" si="68"/>
        <v>0</v>
      </c>
      <c r="R296">
        <f t="shared" si="69"/>
        <v>0</v>
      </c>
    </row>
    <row r="297" spans="1:18" hidden="1">
      <c r="B297" t="s">
        <v>16</v>
      </c>
      <c r="I297" s="9"/>
      <c r="J297" s="8"/>
      <c r="K297" s="9"/>
      <c r="L297" s="8"/>
      <c r="M297" s="9"/>
    </row>
    <row r="298" spans="1:18" hidden="1">
      <c r="B298" t="str">
        <f>IF(R298=0,"HIDE","SHOW")</f>
        <v>HIDE</v>
      </c>
      <c r="F298" s="3" t="str">
        <f>CONCATENATE("Total ",F248)</f>
        <v>Total Restricted Interest</v>
      </c>
      <c r="I298" s="10">
        <f>SUM(I249:I297)</f>
        <v>0</v>
      </c>
      <c r="J298" s="11"/>
      <c r="K298" s="10">
        <f>SUM(K249:K297)</f>
        <v>0</v>
      </c>
      <c r="L298" s="11"/>
      <c r="M298" s="10">
        <f>K298-I298</f>
        <v>0</v>
      </c>
      <c r="P298">
        <f>IF(I298=0,0,1)</f>
        <v>0</v>
      </c>
      <c r="Q298">
        <f>IF(K298=0,0,1)</f>
        <v>0</v>
      </c>
      <c r="R298">
        <f>P298+Q298</f>
        <v>0</v>
      </c>
    </row>
    <row r="299" spans="1:18" hidden="1">
      <c r="B299" t="str">
        <f>B298</f>
        <v>HIDE</v>
      </c>
      <c r="I299" s="8"/>
      <c r="J299" s="8"/>
      <c r="K299" s="8"/>
      <c r="L299" s="8"/>
      <c r="M299" s="8"/>
    </row>
    <row r="300" spans="1:18">
      <c r="B300" t="str">
        <f>B307</f>
        <v>SHOW</v>
      </c>
      <c r="C300">
        <v>45100</v>
      </c>
      <c r="F300" s="3" t="str">
        <f>"Misc Income"</f>
        <v>Misc Income</v>
      </c>
      <c r="I300" s="8"/>
      <c r="J300" s="8"/>
      <c r="K300" s="8"/>
      <c r="L300" s="8"/>
      <c r="M300" s="8"/>
    </row>
    <row r="301" spans="1:18" hidden="1">
      <c r="B301" t="str">
        <f>IF(R301=0,"HIDE","SHOW")</f>
        <v>HIDE</v>
      </c>
      <c r="C301" t="s">
        <v>41</v>
      </c>
      <c r="D301" t="str">
        <f>"""Mission ERP"",""GBRA"",""15"",""1"",""45110"""</f>
        <v>"Mission ERP","GBRA","15","1","45110"</v>
      </c>
      <c r="E301" t="str">
        <f>"45110"</f>
        <v>45110</v>
      </c>
      <c r="F301" t="str">
        <f>"HYDRO MODIFICATION PERMITS"</f>
        <v>HYDRO MODIFICATION PERMITS</v>
      </c>
      <c r="I301" s="8">
        <v>0</v>
      </c>
      <c r="J301" s="8"/>
      <c r="K301" s="8">
        <v>0</v>
      </c>
      <c r="L301" s="8"/>
      <c r="M301" s="8">
        <f>K301-I301</f>
        <v>0</v>
      </c>
      <c r="P301">
        <f>IF(I301=0,0,1)</f>
        <v>0</v>
      </c>
      <c r="Q301">
        <f>IF(K301=0,0,1)</f>
        <v>0</v>
      </c>
      <c r="R301">
        <f>P301+Q301</f>
        <v>0</v>
      </c>
    </row>
    <row r="302" spans="1:18" hidden="1">
      <c r="A302" t="s">
        <v>26</v>
      </c>
      <c r="B302" t="str">
        <f t="shared" ref="B302:B305" si="70">IF(R302=0,"HIDE","SHOW")</f>
        <v>HIDE</v>
      </c>
      <c r="C302" t="s">
        <v>41</v>
      </c>
      <c r="D302" t="str">
        <f>"""Mission ERP"",""GBRA"",""15"",""1"",""45120"""</f>
        <v>"Mission ERP","GBRA","15","1","45120"</v>
      </c>
      <c r="E302" t="str">
        <f>"45120"</f>
        <v>45120</v>
      </c>
      <c r="F302" t="str">
        <f>"INSPECTION FEE INCOME-BULVERDE"</f>
        <v>INSPECTION FEE INCOME-BULVERDE</v>
      </c>
      <c r="I302" s="8">
        <v>0</v>
      </c>
      <c r="J302" s="8"/>
      <c r="K302" s="8">
        <v>0</v>
      </c>
      <c r="L302" s="8"/>
      <c r="M302" s="8">
        <f t="shared" ref="M302:M305" si="71">K302-I302</f>
        <v>0</v>
      </c>
      <c r="P302">
        <f t="shared" ref="P302:P305" si="72">IF(I302=0,0,1)</f>
        <v>0</v>
      </c>
      <c r="Q302">
        <f t="shared" ref="Q302:Q305" si="73">IF(K302=0,0,1)</f>
        <v>0</v>
      </c>
      <c r="R302">
        <f t="shared" ref="R302:R305" si="74">P302+Q302</f>
        <v>0</v>
      </c>
    </row>
    <row r="303" spans="1:18" hidden="1">
      <c r="A303" t="s">
        <v>26</v>
      </c>
      <c r="B303" t="str">
        <f t="shared" si="70"/>
        <v>HIDE</v>
      </c>
      <c r="C303" t="s">
        <v>41</v>
      </c>
      <c r="D303" t="str">
        <f>"""Mission ERP"",""GBRA"",""15"",""1"",""45130"""</f>
        <v>"Mission ERP","GBRA","15","1","45130"</v>
      </c>
      <c r="E303" t="str">
        <f>"45130"</f>
        <v>45130</v>
      </c>
      <c r="F303" t="str">
        <f>"DEBT COVERAGE"</f>
        <v>DEBT COVERAGE</v>
      </c>
      <c r="I303" s="8">
        <v>0</v>
      </c>
      <c r="J303" s="8"/>
      <c r="K303" s="8">
        <v>0</v>
      </c>
      <c r="L303" s="8"/>
      <c r="M303" s="8">
        <f t="shared" si="71"/>
        <v>0</v>
      </c>
      <c r="P303">
        <f t="shared" si="72"/>
        <v>0</v>
      </c>
      <c r="Q303">
        <f t="shared" si="73"/>
        <v>0</v>
      </c>
      <c r="R303">
        <f t="shared" si="74"/>
        <v>0</v>
      </c>
    </row>
    <row r="304" spans="1:18" hidden="1">
      <c r="A304" t="s">
        <v>26</v>
      </c>
      <c r="B304" t="str">
        <f t="shared" si="70"/>
        <v>HIDE</v>
      </c>
      <c r="C304" t="s">
        <v>41</v>
      </c>
      <c r="D304" t="str">
        <f>"""Mission ERP"",""GBRA"",""15"",""1"",""45140"""</f>
        <v>"Mission ERP","GBRA","15","1","45140"</v>
      </c>
      <c r="E304" t="str">
        <f>"45140"</f>
        <v>45140</v>
      </c>
      <c r="F304" t="str">
        <f>"RETAIL CREDIT CARD FEES"</f>
        <v>RETAIL CREDIT CARD FEES</v>
      </c>
      <c r="I304" s="8">
        <v>0</v>
      </c>
      <c r="J304" s="8"/>
      <c r="K304" s="8">
        <v>0</v>
      </c>
      <c r="L304" s="8"/>
      <c r="M304" s="8">
        <f t="shared" si="71"/>
        <v>0</v>
      </c>
      <c r="P304">
        <f t="shared" si="72"/>
        <v>0</v>
      </c>
      <c r="Q304">
        <f t="shared" si="73"/>
        <v>0</v>
      </c>
      <c r="R304">
        <f t="shared" si="74"/>
        <v>0</v>
      </c>
    </row>
    <row r="305" spans="1:18">
      <c r="A305" t="s">
        <v>26</v>
      </c>
      <c r="B305" t="str">
        <f t="shared" si="70"/>
        <v>SHOW</v>
      </c>
      <c r="C305" t="s">
        <v>41</v>
      </c>
      <c r="D305" t="str">
        <f>"""Mission ERP"",""GBRA"",""15"",""1"",""45195"""</f>
        <v>"Mission ERP","GBRA","15","1","45195"</v>
      </c>
      <c r="E305" t="str">
        <f>"45195"</f>
        <v>45195</v>
      </c>
      <c r="F305" t="str">
        <f>"MISCELLANEOUS REVENUES"</f>
        <v>MISCELLANEOUS REVENUES</v>
      </c>
      <c r="I305" s="8">
        <v>804000</v>
      </c>
      <c r="J305" s="8"/>
      <c r="K305" s="8">
        <v>806500</v>
      </c>
      <c r="L305" s="8"/>
      <c r="M305" s="8">
        <f t="shared" si="71"/>
        <v>2500</v>
      </c>
      <c r="P305">
        <f t="shared" si="72"/>
        <v>1</v>
      </c>
      <c r="Q305">
        <f t="shared" si="73"/>
        <v>1</v>
      </c>
      <c r="R305">
        <f t="shared" si="74"/>
        <v>2</v>
      </c>
    </row>
    <row r="306" spans="1:18" hidden="1">
      <c r="B306" t="s">
        <v>16</v>
      </c>
      <c r="I306" s="9"/>
      <c r="J306" s="8"/>
      <c r="K306" s="9"/>
      <c r="L306" s="8"/>
      <c r="M306" s="9"/>
    </row>
    <row r="307" spans="1:18">
      <c r="B307" t="str">
        <f>IF(R307=0,"HIDE","SHOW")</f>
        <v>SHOW</v>
      </c>
      <c r="F307" s="3" t="str">
        <f>CONCATENATE("Total ",F300)</f>
        <v>Total Misc Income</v>
      </c>
      <c r="I307" s="10">
        <f>SUM(I301:I306)</f>
        <v>804000</v>
      </c>
      <c r="J307" s="11"/>
      <c r="K307" s="10">
        <f>SUM(K301:K306)</f>
        <v>806500</v>
      </c>
      <c r="L307" s="11"/>
      <c r="M307" s="10">
        <f>K307-I307</f>
        <v>2500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8">
      <c r="B308" t="str">
        <f>B307</f>
        <v>SHOW</v>
      </c>
      <c r="I308" s="8"/>
      <c r="J308" s="8"/>
      <c r="K308" s="8"/>
      <c r="L308" s="8"/>
      <c r="M308" s="8"/>
    </row>
    <row r="309" spans="1:18">
      <c r="B309" t="str">
        <f>B319</f>
        <v>SHOW</v>
      </c>
      <c r="C309">
        <v>45200</v>
      </c>
      <c r="F309" s="3" t="str">
        <f>"Pass-Through Costs"</f>
        <v>Pass-Through Costs</v>
      </c>
      <c r="I309" s="8"/>
      <c r="J309" s="8"/>
      <c r="K309" s="8"/>
      <c r="L309" s="8"/>
      <c r="M309" s="8"/>
    </row>
    <row r="310" spans="1:18">
      <c r="B310" t="str">
        <f>IF(R310=0,"HIDE","SHOW")</f>
        <v>SHOW</v>
      </c>
      <c r="C310" t="s">
        <v>42</v>
      </c>
      <c r="D310" t="str">
        <f>"""Mission ERP"",""GBRA"",""15"",""1"",""45240"""</f>
        <v>"Mission ERP","GBRA","15","1","45240"</v>
      </c>
      <c r="E310" t="str">
        <f>"45240"</f>
        <v>45240</v>
      </c>
      <c r="F310" t="str">
        <f>"PASS-THROUGH-ELECTRIC COSTS"</f>
        <v>PASS-THROUGH-ELECTRIC COSTS</v>
      </c>
      <c r="I310" s="8">
        <v>439064</v>
      </c>
      <c r="J310" s="8"/>
      <c r="K310" s="8">
        <v>423639</v>
      </c>
      <c r="L310" s="8"/>
      <c r="M310" s="8">
        <f>K310-I310</f>
        <v>-15425</v>
      </c>
      <c r="P310">
        <f>IF(I310=0,0,1)</f>
        <v>1</v>
      </c>
      <c r="Q310">
        <f>IF(K310=0,0,1)</f>
        <v>1</v>
      </c>
      <c r="R310">
        <f>P310+Q310</f>
        <v>2</v>
      </c>
    </row>
    <row r="311" spans="1:18">
      <c r="A311" t="s">
        <v>26</v>
      </c>
      <c r="B311" t="str">
        <f t="shared" ref="B311:B317" si="75">IF(R311=0,"HIDE","SHOW")</f>
        <v>SHOW</v>
      </c>
      <c r="C311" t="s">
        <v>42</v>
      </c>
      <c r="D311" t="str">
        <f>"""Mission ERP"",""GBRA"",""15"",""1"",""45241"""</f>
        <v>"Mission ERP","GBRA","15","1","45241"</v>
      </c>
      <c r="E311" t="str">
        <f>"45241"</f>
        <v>45241</v>
      </c>
      <c r="F311" t="str">
        <f>"PASS-THROUGH-CHEMICAL COSTS"</f>
        <v>PASS-THROUGH-CHEMICAL COSTS</v>
      </c>
      <c r="I311" s="8">
        <v>824199</v>
      </c>
      <c r="J311" s="8"/>
      <c r="K311" s="8">
        <v>1045890</v>
      </c>
      <c r="L311" s="8"/>
      <c r="M311" s="8">
        <f t="shared" ref="M311:M317" si="76">K311-I311</f>
        <v>221691</v>
      </c>
      <c r="P311">
        <f t="shared" ref="P311:P317" si="77">IF(I311=0,0,1)</f>
        <v>1</v>
      </c>
      <c r="Q311">
        <f t="shared" ref="Q311:Q317" si="78">IF(K311=0,0,1)</f>
        <v>1</v>
      </c>
      <c r="R311">
        <f t="shared" ref="R311:R317" si="79">P311+Q311</f>
        <v>2</v>
      </c>
    </row>
    <row r="312" spans="1:18">
      <c r="A312" t="s">
        <v>26</v>
      </c>
      <c r="B312" t="str">
        <f t="shared" si="75"/>
        <v>SHOW</v>
      </c>
      <c r="C312" t="s">
        <v>42</v>
      </c>
      <c r="D312" t="str">
        <f>"""Mission ERP"",""GBRA"",""15"",""1"",""45242"""</f>
        <v>"Mission ERP","GBRA","15","1","45242"</v>
      </c>
      <c r="E312" t="str">
        <f>"45242"</f>
        <v>45242</v>
      </c>
      <c r="F312" t="str">
        <f>"PASS-THROUGH-GNDWTR ELECTRIC COSTS"</f>
        <v>PASS-THROUGH-GNDWTR ELECTRIC COSTS</v>
      </c>
      <c r="I312" s="8">
        <v>187455</v>
      </c>
      <c r="J312" s="8"/>
      <c r="K312" s="8">
        <v>196860</v>
      </c>
      <c r="L312" s="8"/>
      <c r="M312" s="8">
        <f t="shared" si="76"/>
        <v>9405</v>
      </c>
      <c r="P312">
        <f t="shared" si="77"/>
        <v>1</v>
      </c>
      <c r="Q312">
        <f t="shared" si="78"/>
        <v>1</v>
      </c>
      <c r="R312">
        <f t="shared" si="79"/>
        <v>2</v>
      </c>
    </row>
    <row r="313" spans="1:18">
      <c r="A313" t="s">
        <v>26</v>
      </c>
      <c r="B313" t="str">
        <f t="shared" si="75"/>
        <v>SHOW</v>
      </c>
      <c r="C313" t="s">
        <v>42</v>
      </c>
      <c r="D313" t="str">
        <f>"""Mission ERP"",""GBRA"",""15"",""1"",""45243"""</f>
        <v>"Mission ERP","GBRA","15","1","45243"</v>
      </c>
      <c r="E313" t="str">
        <f>"45243"</f>
        <v>45243</v>
      </c>
      <c r="F313" t="str">
        <f>"PASS-THROUGH-GNDWTR CHEMICAL COSTS"</f>
        <v>PASS-THROUGH-GNDWTR CHEMICAL COSTS</v>
      </c>
      <c r="I313" s="8">
        <v>72804</v>
      </c>
      <c r="J313" s="8"/>
      <c r="K313" s="8">
        <v>68812</v>
      </c>
      <c r="L313" s="8"/>
      <c r="M313" s="8">
        <f t="shared" si="76"/>
        <v>-3992</v>
      </c>
      <c r="P313">
        <f t="shared" si="77"/>
        <v>1</v>
      </c>
      <c r="Q313">
        <f t="shared" si="78"/>
        <v>1</v>
      </c>
      <c r="R313">
        <f t="shared" si="79"/>
        <v>2</v>
      </c>
    </row>
    <row r="314" spans="1:18">
      <c r="A314" t="s">
        <v>26</v>
      </c>
      <c r="B314" t="str">
        <f t="shared" si="75"/>
        <v>SHOW</v>
      </c>
      <c r="C314" t="s">
        <v>42</v>
      </c>
      <c r="D314" t="str">
        <f>"""Mission ERP"",""GBRA"",""15"",""1"",""45244"""</f>
        <v>"Mission ERP","GBRA","15","1","45244"</v>
      </c>
      <c r="E314" t="str">
        <f>"45244"</f>
        <v>45244</v>
      </c>
      <c r="F314" t="str">
        <f>"PASS-THROUGH-INSURANCE"</f>
        <v>PASS-THROUGH-INSURANCE</v>
      </c>
      <c r="I314" s="8">
        <v>34083</v>
      </c>
      <c r="J314" s="8"/>
      <c r="K314" s="8">
        <v>33452</v>
      </c>
      <c r="L314" s="8"/>
      <c r="M314" s="8">
        <f t="shared" si="76"/>
        <v>-631</v>
      </c>
      <c r="P314">
        <f t="shared" si="77"/>
        <v>1</v>
      </c>
      <c r="Q314">
        <f t="shared" si="78"/>
        <v>1</v>
      </c>
      <c r="R314">
        <f t="shared" si="79"/>
        <v>2</v>
      </c>
    </row>
    <row r="315" spans="1:18">
      <c r="A315" t="s">
        <v>26</v>
      </c>
      <c r="B315" t="str">
        <f t="shared" si="75"/>
        <v>SHOW</v>
      </c>
      <c r="C315" t="s">
        <v>42</v>
      </c>
      <c r="D315" t="str">
        <f>"""Mission ERP"",""GBRA"",""15"",""1"",""45245"""</f>
        <v>"Mission ERP","GBRA","15","1","45245"</v>
      </c>
      <c r="E315" t="str">
        <f>"45245"</f>
        <v>45245</v>
      </c>
      <c r="F315" t="str">
        <f>"PASS-THROUGH-LOC"</f>
        <v>PASS-THROUGH-LOC</v>
      </c>
      <c r="I315" s="8">
        <v>15000</v>
      </c>
      <c r="J315" s="8"/>
      <c r="K315" s="8">
        <v>16475</v>
      </c>
      <c r="L315" s="8"/>
      <c r="M315" s="8">
        <f t="shared" si="76"/>
        <v>1475</v>
      </c>
      <c r="P315">
        <f t="shared" si="77"/>
        <v>1</v>
      </c>
      <c r="Q315">
        <f t="shared" si="78"/>
        <v>1</v>
      </c>
      <c r="R315">
        <f t="shared" si="79"/>
        <v>2</v>
      </c>
    </row>
    <row r="316" spans="1:18">
      <c r="A316" t="s">
        <v>26</v>
      </c>
      <c r="B316" t="str">
        <f t="shared" si="75"/>
        <v>SHOW</v>
      </c>
      <c r="C316" t="s">
        <v>42</v>
      </c>
      <c r="D316" t="str">
        <f>"""Mission ERP"",""GBRA"",""15"",""1"",""45246"""</f>
        <v>"Mission ERP","GBRA","15","1","45246"</v>
      </c>
      <c r="E316" t="str">
        <f>"45246"</f>
        <v>45246</v>
      </c>
      <c r="F316" t="str">
        <f>"PASS-THROUGH-INSPECTION"</f>
        <v>PASS-THROUGH-INSPECTION</v>
      </c>
      <c r="I316" s="8">
        <v>78000</v>
      </c>
      <c r="J316" s="8"/>
      <c r="K316" s="8">
        <v>78000</v>
      </c>
      <c r="L316" s="8"/>
      <c r="M316" s="8">
        <f t="shared" si="76"/>
        <v>0</v>
      </c>
      <c r="P316">
        <f t="shared" si="77"/>
        <v>1</v>
      </c>
      <c r="Q316">
        <f t="shared" si="78"/>
        <v>1</v>
      </c>
      <c r="R316">
        <f t="shared" si="79"/>
        <v>2</v>
      </c>
    </row>
    <row r="317" spans="1:18">
      <c r="A317" t="s">
        <v>26</v>
      </c>
      <c r="B317" t="str">
        <f t="shared" si="75"/>
        <v>SHOW</v>
      </c>
      <c r="C317" t="s">
        <v>42</v>
      </c>
      <c r="D317" t="str">
        <f>"""Mission ERP"",""GBRA"",""15"",""1"",""45247"""</f>
        <v>"Mission ERP","GBRA","15","1","45247"</v>
      </c>
      <c r="E317" t="str">
        <f>"45247"</f>
        <v>45247</v>
      </c>
      <c r="F317" t="str">
        <f>"PASS-THROUGH-OTHER"</f>
        <v>PASS-THROUGH-OTHER</v>
      </c>
      <c r="I317" s="8">
        <v>0</v>
      </c>
      <c r="J317" s="8"/>
      <c r="K317" s="8">
        <v>91971</v>
      </c>
      <c r="L317" s="8"/>
      <c r="M317" s="8">
        <f t="shared" si="76"/>
        <v>91971</v>
      </c>
      <c r="P317">
        <f t="shared" si="77"/>
        <v>0</v>
      </c>
      <c r="Q317">
        <f t="shared" si="78"/>
        <v>1</v>
      </c>
      <c r="R317">
        <f t="shared" si="79"/>
        <v>1</v>
      </c>
    </row>
    <row r="318" spans="1:18" hidden="1">
      <c r="B318" t="s">
        <v>16</v>
      </c>
      <c r="I318" s="9"/>
      <c r="J318" s="8"/>
      <c r="K318" s="9"/>
      <c r="L318" s="8"/>
      <c r="M318" s="9"/>
    </row>
    <row r="319" spans="1:18">
      <c r="B319" t="str">
        <f>IF(R319=0,"HIDE","SHOW")</f>
        <v>SHOW</v>
      </c>
      <c r="F319" s="3" t="str">
        <f>CONCATENATE("Total ",F309)</f>
        <v>Total Pass-Through Costs</v>
      </c>
      <c r="I319" s="10">
        <f>SUM(I310:I318)</f>
        <v>1650605</v>
      </c>
      <c r="J319" s="11"/>
      <c r="K319" s="10">
        <f>SUM(K310:K318)</f>
        <v>1955099</v>
      </c>
      <c r="L319" s="11"/>
      <c r="M319" s="10">
        <f>K319-I319</f>
        <v>304494</v>
      </c>
      <c r="P319">
        <f>IF(I319=0,0,1)</f>
        <v>1</v>
      </c>
      <c r="Q319">
        <f>IF(K319=0,0,1)</f>
        <v>1</v>
      </c>
      <c r="R319">
        <f>P319+Q319</f>
        <v>2</v>
      </c>
    </row>
    <row r="320" spans="1:18">
      <c r="B320" t="str">
        <f>B319</f>
        <v>SHOW</v>
      </c>
      <c r="I320" s="8"/>
      <c r="J320" s="8"/>
      <c r="K320" s="8"/>
      <c r="L320" s="8"/>
      <c r="M320" s="8"/>
    </row>
    <row r="321" spans="1:19">
      <c r="B321" t="str">
        <f>B328</f>
        <v>SHOW</v>
      </c>
      <c r="C321">
        <v>45300</v>
      </c>
      <c r="F321" s="3" t="str">
        <f>"Grant  &amp; Interlocal Agreement Income"</f>
        <v>Grant  &amp; Interlocal Agreement Income</v>
      </c>
      <c r="I321" s="8"/>
      <c r="J321" s="8"/>
      <c r="K321" s="8"/>
      <c r="L321" s="8"/>
      <c r="M321" s="8"/>
    </row>
    <row r="322" spans="1:19">
      <c r="B322" t="str">
        <f>IF(R322=0,"HIDE","SHOW")</f>
        <v>SHOW</v>
      </c>
      <c r="C322" t="s">
        <v>43</v>
      </c>
      <c r="D322" t="str">
        <f>"""Mission ERP"",""GBRA"",""15"",""1"",""45301"""</f>
        <v>"Mission ERP","GBRA","15","1","45301"</v>
      </c>
      <c r="E322" t="str">
        <f>"45301"</f>
        <v>45301</v>
      </c>
      <c r="F322" t="str">
        <f>"GRANTS-FEDERAL"</f>
        <v>GRANTS-FEDERAL</v>
      </c>
      <c r="I322" s="8">
        <v>1035749</v>
      </c>
      <c r="J322" s="8"/>
      <c r="K322" s="8">
        <v>1004670</v>
      </c>
      <c r="L322" s="8"/>
      <c r="M322" s="8">
        <f>K322-I322</f>
        <v>-31079</v>
      </c>
      <c r="P322">
        <f>IF(I322=0,0,1)</f>
        <v>1</v>
      </c>
      <c r="Q322">
        <f>IF(K322=0,0,1)</f>
        <v>1</v>
      </c>
      <c r="R322">
        <f>P322+Q322</f>
        <v>2</v>
      </c>
    </row>
    <row r="323" spans="1:19">
      <c r="A323" t="s">
        <v>26</v>
      </c>
      <c r="B323" t="str">
        <f t="shared" ref="B323:B326" si="80">IF(R323=0,"HIDE","SHOW")</f>
        <v>SHOW</v>
      </c>
      <c r="C323" t="s">
        <v>43</v>
      </c>
      <c r="D323" t="str">
        <f>"""Mission ERP"",""GBRA"",""15"",""1"",""45302"""</f>
        <v>"Mission ERP","GBRA","15","1","45302"</v>
      </c>
      <c r="E323" t="str">
        <f>"45302"</f>
        <v>45302</v>
      </c>
      <c r="F323" t="str">
        <f>"GRANTS-STATE"</f>
        <v>GRANTS-STATE</v>
      </c>
      <c r="I323" s="8">
        <v>505000</v>
      </c>
      <c r="J323" s="8"/>
      <c r="K323" s="8">
        <v>620000</v>
      </c>
      <c r="L323" s="8"/>
      <c r="M323" s="8">
        <f t="shared" ref="M323:M326" si="81">K323-I323</f>
        <v>115000</v>
      </c>
      <c r="P323">
        <f t="shared" ref="P323:P326" si="82">IF(I323=0,0,1)</f>
        <v>1</v>
      </c>
      <c r="Q323">
        <f t="shared" ref="Q323:Q326" si="83">IF(K323=0,0,1)</f>
        <v>1</v>
      </c>
      <c r="R323">
        <f t="shared" ref="R323:R326" si="84">P323+Q323</f>
        <v>2</v>
      </c>
    </row>
    <row r="324" spans="1:19">
      <c r="A324" t="s">
        <v>26</v>
      </c>
      <c r="B324" t="str">
        <f t="shared" si="80"/>
        <v>SHOW</v>
      </c>
      <c r="C324" t="s">
        <v>43</v>
      </c>
      <c r="D324" t="str">
        <f>"""Mission ERP"",""GBRA"",""15"",""1"",""45303"""</f>
        <v>"Mission ERP","GBRA","15","1","45303"</v>
      </c>
      <c r="E324" t="str">
        <f>"45303"</f>
        <v>45303</v>
      </c>
      <c r="F324" t="str">
        <f>"GRANTS-CLEAN RIVERS PROGRAM"</f>
        <v>GRANTS-CLEAN RIVERS PROGRAM</v>
      </c>
      <c r="I324" s="8">
        <v>161027</v>
      </c>
      <c r="J324" s="8"/>
      <c r="K324" s="8">
        <v>161118</v>
      </c>
      <c r="L324" s="8"/>
      <c r="M324" s="8">
        <f t="shared" si="81"/>
        <v>91</v>
      </c>
      <c r="P324">
        <f t="shared" si="82"/>
        <v>1</v>
      </c>
      <c r="Q324">
        <f t="shared" si="83"/>
        <v>1</v>
      </c>
      <c r="R324">
        <f t="shared" si="84"/>
        <v>2</v>
      </c>
    </row>
    <row r="325" spans="1:19" hidden="1">
      <c r="A325" t="s">
        <v>26</v>
      </c>
      <c r="B325" t="str">
        <f t="shared" si="80"/>
        <v>HIDE</v>
      </c>
      <c r="C325" t="s">
        <v>43</v>
      </c>
      <c r="D325" t="str">
        <f>"""Mission ERP"",""GBRA"",""15"",""1"",""45304"""</f>
        <v>"Mission ERP","GBRA","15","1","45304"</v>
      </c>
      <c r="E325" t="str">
        <f>"45304"</f>
        <v>45304</v>
      </c>
      <c r="F325" t="str">
        <f>"GRANTS-PROJECT DONATIONS"</f>
        <v>GRANTS-PROJECT DONATIONS</v>
      </c>
      <c r="I325" s="8">
        <v>0</v>
      </c>
      <c r="J325" s="8"/>
      <c r="K325" s="8">
        <v>0</v>
      </c>
      <c r="L325" s="8"/>
      <c r="M325" s="8">
        <f t="shared" si="81"/>
        <v>0</v>
      </c>
      <c r="P325">
        <f t="shared" si="82"/>
        <v>0</v>
      </c>
      <c r="Q325">
        <f t="shared" si="83"/>
        <v>0</v>
      </c>
      <c r="R325">
        <f t="shared" si="84"/>
        <v>0</v>
      </c>
    </row>
    <row r="326" spans="1:19">
      <c r="A326" t="s">
        <v>26</v>
      </c>
      <c r="B326" t="str">
        <f t="shared" si="80"/>
        <v>SHOW</v>
      </c>
      <c r="C326" t="s">
        <v>43</v>
      </c>
      <c r="D326" t="str">
        <f>"""Mission ERP"",""GBRA"",""15"",""1"",""45320"""</f>
        <v>"Mission ERP","GBRA","15","1","45320"</v>
      </c>
      <c r="E326" t="str">
        <f>"45320"</f>
        <v>45320</v>
      </c>
      <c r="F326" t="str">
        <f>"INTERLOCAL-CONTRIBUTED BY CUSTOMERS"</f>
        <v>INTERLOCAL-CONTRIBUTED BY CUSTOMERS</v>
      </c>
      <c r="I326" s="8">
        <v>39046</v>
      </c>
      <c r="J326" s="8"/>
      <c r="K326" s="8">
        <v>39046</v>
      </c>
      <c r="L326" s="8"/>
      <c r="M326" s="8">
        <f t="shared" si="81"/>
        <v>0</v>
      </c>
      <c r="P326">
        <f t="shared" si="82"/>
        <v>1</v>
      </c>
      <c r="Q326">
        <f t="shared" si="83"/>
        <v>1</v>
      </c>
      <c r="R326">
        <f t="shared" si="84"/>
        <v>2</v>
      </c>
    </row>
    <row r="327" spans="1:19" hidden="1">
      <c r="B327" t="s">
        <v>16</v>
      </c>
      <c r="I327" s="9"/>
      <c r="J327" s="8"/>
      <c r="K327" s="9"/>
      <c r="L327" s="8"/>
      <c r="M327" s="9"/>
    </row>
    <row r="328" spans="1:19">
      <c r="B328" t="str">
        <f>IF(R328=0,"HIDE","SHOW")</f>
        <v>SHOW</v>
      </c>
      <c r="F328" s="3" t="str">
        <f>CONCATENATE("Total ",F321)</f>
        <v>Total Grant  &amp; Interlocal Agreement Income</v>
      </c>
      <c r="I328" s="10">
        <f>SUM(I322:I327)</f>
        <v>1740822</v>
      </c>
      <c r="J328" s="11"/>
      <c r="K328" s="10">
        <f>SUM(K322:K327)</f>
        <v>1824834</v>
      </c>
      <c r="L328" s="11"/>
      <c r="M328" s="10">
        <f>K328-I328</f>
        <v>84012</v>
      </c>
      <c r="P328">
        <f>IF(I328=0,0,1)</f>
        <v>1</v>
      </c>
      <c r="Q328">
        <f>IF(K328=0,0,1)</f>
        <v>1</v>
      </c>
      <c r="R328">
        <f>P328+Q328</f>
        <v>2</v>
      </c>
    </row>
    <row r="329" spans="1:19">
      <c r="B329" t="str">
        <f>B328</f>
        <v>SHOW</v>
      </c>
      <c r="I329" s="8"/>
      <c r="J329" s="8"/>
      <c r="K329" s="8"/>
      <c r="L329" s="8"/>
      <c r="M329" s="8"/>
    </row>
    <row r="330" spans="1:19" hidden="1">
      <c r="B330" t="str">
        <f>B333</f>
        <v>HIDE</v>
      </c>
      <c r="C330">
        <v>45400</v>
      </c>
      <c r="F330" s="3" t="str">
        <f>"Deferred Revenue"</f>
        <v>Deferred Revenue</v>
      </c>
      <c r="I330" s="8"/>
      <c r="J330" s="8"/>
      <c r="K330" s="8"/>
      <c r="L330" s="8"/>
      <c r="M330" s="8"/>
    </row>
    <row r="331" spans="1:19" hidden="1">
      <c r="B331" t="str">
        <f>IF(R331=0,"HIDE","SHOW")</f>
        <v>HIDE</v>
      </c>
      <c r="C331" t="s">
        <v>44</v>
      </c>
      <c r="D331" t="str">
        <f>"""Mission ERP"",""GBRA"",""15"",""1"",""45401"""</f>
        <v>"Mission ERP","GBRA","15","1","45401"</v>
      </c>
      <c r="E331" t="str">
        <f>"45401"</f>
        <v>45401</v>
      </c>
      <c r="F331" t="str">
        <f>"DEFERRED REVENUE"</f>
        <v>DEFERRED REVENUE</v>
      </c>
      <c r="I331" s="8">
        <v>0</v>
      </c>
      <c r="J331" s="8"/>
      <c r="K331" s="8">
        <v>0</v>
      </c>
      <c r="L331" s="8"/>
      <c r="M331" s="8">
        <f>K331-I331</f>
        <v>0</v>
      </c>
      <c r="P331">
        <f>IF(I331=0,0,1)</f>
        <v>0</v>
      </c>
      <c r="Q331">
        <f>IF(K331=0,0,1)</f>
        <v>0</v>
      </c>
      <c r="R331">
        <f>P331+Q331</f>
        <v>0</v>
      </c>
    </row>
    <row r="332" spans="1:19" hidden="1">
      <c r="B332" t="s">
        <v>16</v>
      </c>
      <c r="I332" s="9"/>
      <c r="J332" s="8"/>
      <c r="K332" s="9"/>
      <c r="L332" s="8"/>
      <c r="M332" s="9"/>
    </row>
    <row r="333" spans="1:19" hidden="1">
      <c r="B333" t="str">
        <f>IF(R333=0,"HIDE","SHOW")</f>
        <v>HIDE</v>
      </c>
      <c r="F333" s="3" t="str">
        <f>CONCATENATE("Total ",F330)</f>
        <v>Total Deferred Revenue</v>
      </c>
      <c r="I333" s="10">
        <f>SUM(I331:I332)</f>
        <v>0</v>
      </c>
      <c r="J333" s="11"/>
      <c r="K333" s="10">
        <f>SUM(K331:K332)</f>
        <v>0</v>
      </c>
      <c r="L333" s="11"/>
      <c r="M333" s="10">
        <f>K333-I333</f>
        <v>0</v>
      </c>
      <c r="P333">
        <f>IF(I333=0,0,1)</f>
        <v>0</v>
      </c>
      <c r="Q333">
        <f>IF(K333=0,0,1)</f>
        <v>0</v>
      </c>
      <c r="R333">
        <f>P333+Q333</f>
        <v>0</v>
      </c>
    </row>
    <row r="334" spans="1:19" hidden="1">
      <c r="B334" t="str">
        <f>B333</f>
        <v>HIDE</v>
      </c>
      <c r="I334" s="8"/>
      <c r="J334" s="8"/>
      <c r="K334" s="8"/>
      <c r="L334" s="8"/>
      <c r="M334" s="8"/>
    </row>
    <row r="335" spans="1:19" ht="15.75" thickBot="1">
      <c r="B335" t="str">
        <f>IF(R335=0,"HIDE","SHOW")</f>
        <v>SHOW</v>
      </c>
      <c r="F335" s="3" t="s">
        <v>45</v>
      </c>
      <c r="I335" s="14">
        <f>I333+I328+I319+I307+I298+I246+I233+I226+I215+I210+I200+I170+I158+I148+I136+I65+I59+I48+I37</f>
        <v>82456238</v>
      </c>
      <c r="J335" s="11"/>
      <c r="K335" s="14">
        <f>K333+K328+K319+K307+K298+K246+K233+K226+K215+K210+K200+K170+K158+K148+K136+K65+K59+K48+K37</f>
        <v>97765132</v>
      </c>
      <c r="L335" s="11"/>
      <c r="M335" s="14">
        <f>K335-I335</f>
        <v>15308894</v>
      </c>
      <c r="P335">
        <f>IF(I335=0,0,1)</f>
        <v>1</v>
      </c>
      <c r="Q335">
        <f>IF(K335=0,0,1)</f>
        <v>1</v>
      </c>
      <c r="R335">
        <f>P335+Q335</f>
        <v>2</v>
      </c>
      <c r="S335" s="17"/>
    </row>
    <row r="336" spans="1:19" ht="15.75" hidden="1" thickTop="1">
      <c r="B336" t="s">
        <v>16</v>
      </c>
      <c r="I336" s="8"/>
      <c r="J336" s="8"/>
      <c r="K336" s="8"/>
      <c r="L336" s="8"/>
      <c r="M336" s="8"/>
    </row>
    <row r="337" spans="1:18" ht="15.75" thickTop="1">
      <c r="I337" s="8"/>
      <c r="J337" s="8"/>
      <c r="K337" s="8"/>
      <c r="L337" s="8"/>
      <c r="M337" s="8"/>
    </row>
    <row r="338" spans="1:18" ht="15.75">
      <c r="F338" s="6" t="s">
        <v>46</v>
      </c>
      <c r="I338" s="8"/>
      <c r="J338" s="8"/>
      <c r="K338" s="8"/>
      <c r="L338" s="8"/>
      <c r="M338" s="8"/>
    </row>
    <row r="339" spans="1:18">
      <c r="I339" s="8"/>
      <c r="J339" s="8"/>
      <c r="K339" s="8"/>
      <c r="L339" s="8"/>
      <c r="M339" s="8"/>
    </row>
    <row r="340" spans="1:18">
      <c r="B340" t="str">
        <f>B345</f>
        <v>SHOW</v>
      </c>
      <c r="C340">
        <v>51100</v>
      </c>
      <c r="F340" s="3" t="str">
        <f>"Salaries"</f>
        <v>Salaries</v>
      </c>
      <c r="I340" s="8"/>
      <c r="J340" s="8"/>
      <c r="K340" s="8"/>
      <c r="L340" s="8"/>
      <c r="M340" s="8"/>
    </row>
    <row r="341" spans="1:18">
      <c r="B341" t="str">
        <f>IF(R341=0,"HIDE","SHOW")</f>
        <v>SHOW</v>
      </c>
      <c r="C341" t="s">
        <v>47</v>
      </c>
      <c r="D341" t="str">
        <f>"""Mission ERP"",""GBRA"",""15"",""1"",""51101"""</f>
        <v>"Mission ERP","GBRA","15","1","51101"</v>
      </c>
      <c r="E341" t="str">
        <f>"51101"</f>
        <v>51101</v>
      </c>
      <c r="F341" t="str">
        <f>"LBR-REGULAR WAGES"</f>
        <v>LBR-REGULAR WAGES</v>
      </c>
      <c r="I341" s="8">
        <v>18560156</v>
      </c>
      <c r="J341" s="8"/>
      <c r="K341" s="8">
        <v>20999513</v>
      </c>
      <c r="L341" s="8"/>
      <c r="M341" s="8">
        <f>K341-I341</f>
        <v>2439357</v>
      </c>
      <c r="P341">
        <f>IF(I341=0,0,1)</f>
        <v>1</v>
      </c>
      <c r="Q341">
        <f>IF(K341=0,0,1)</f>
        <v>1</v>
      </c>
      <c r="R341">
        <f>P341+Q341</f>
        <v>2</v>
      </c>
    </row>
    <row r="342" spans="1:18">
      <c r="A342" t="s">
        <v>26</v>
      </c>
      <c r="B342" t="str">
        <f t="shared" ref="B342:B343" si="85">IF(R342=0,"HIDE","SHOW")</f>
        <v>SHOW</v>
      </c>
      <c r="C342" t="s">
        <v>47</v>
      </c>
      <c r="D342" t="str">
        <f>"""Mission ERP"",""GBRA"",""15"",""1"",""51102"""</f>
        <v>"Mission ERP","GBRA","15","1","51102"</v>
      </c>
      <c r="E342" t="str">
        <f>"51102"</f>
        <v>51102</v>
      </c>
      <c r="F342" t="str">
        <f>"LBR-OVERTIME"</f>
        <v>LBR-OVERTIME</v>
      </c>
      <c r="I342" s="8">
        <v>894757</v>
      </c>
      <c r="J342" s="8"/>
      <c r="K342" s="8">
        <v>985418</v>
      </c>
      <c r="L342" s="8"/>
      <c r="M342" s="8">
        <f t="shared" ref="M342:M343" si="86">K342-I342</f>
        <v>90661</v>
      </c>
      <c r="P342">
        <f t="shared" ref="P342:P343" si="87">IF(I342=0,0,1)</f>
        <v>1</v>
      </c>
      <c r="Q342">
        <f t="shared" ref="Q342:Q343" si="88">IF(K342=0,0,1)</f>
        <v>1</v>
      </c>
      <c r="R342">
        <f t="shared" ref="R342:R343" si="89">P342+Q342</f>
        <v>2</v>
      </c>
    </row>
    <row r="343" spans="1:18" hidden="1">
      <c r="A343" t="s">
        <v>26</v>
      </c>
      <c r="B343" t="str">
        <f t="shared" si="85"/>
        <v>HIDE</v>
      </c>
      <c r="C343" t="s">
        <v>47</v>
      </c>
      <c r="D343" t="str">
        <f>"""Mission ERP"",""GBRA"",""15"",""1"",""51103"""</f>
        <v>"Mission ERP","GBRA","15","1","51103"</v>
      </c>
      <c r="E343" t="str">
        <f>"51103"</f>
        <v>51103</v>
      </c>
      <c r="F343" t="str">
        <f>"LBR-SPECIAL PAY"</f>
        <v>LBR-SPECIAL PAY</v>
      </c>
      <c r="I343" s="8">
        <v>0</v>
      </c>
      <c r="J343" s="8"/>
      <c r="K343" s="8">
        <v>0</v>
      </c>
      <c r="L343" s="8"/>
      <c r="M343" s="8">
        <f t="shared" si="86"/>
        <v>0</v>
      </c>
      <c r="P343">
        <f t="shared" si="87"/>
        <v>0</v>
      </c>
      <c r="Q343">
        <f t="shared" si="88"/>
        <v>0</v>
      </c>
      <c r="R343">
        <f t="shared" si="89"/>
        <v>0</v>
      </c>
    </row>
    <row r="344" spans="1:18" hidden="1">
      <c r="B344" t="s">
        <v>16</v>
      </c>
      <c r="I344" s="9"/>
      <c r="J344" s="8"/>
      <c r="K344" s="9"/>
      <c r="L344" s="8"/>
      <c r="M344" s="9"/>
    </row>
    <row r="345" spans="1:18">
      <c r="B345" t="str">
        <f>IF(R345=0,"HIDE","SHOW")</f>
        <v>SHOW</v>
      </c>
      <c r="F345" s="3" t="str">
        <f>CONCATENATE("Total ",F340)</f>
        <v>Total Salaries</v>
      </c>
      <c r="I345" s="10">
        <f>SUM(I341:I344)</f>
        <v>19454913</v>
      </c>
      <c r="J345" s="11"/>
      <c r="K345" s="10">
        <f>SUM(K341:K344)</f>
        <v>21984931</v>
      </c>
      <c r="L345" s="11"/>
      <c r="M345" s="10">
        <f>K345-I345</f>
        <v>2530018</v>
      </c>
      <c r="P345">
        <f>IF(I345=0,0,1)</f>
        <v>1</v>
      </c>
      <c r="Q345">
        <f>IF(K345=0,0,1)</f>
        <v>1</v>
      </c>
      <c r="R345">
        <f>P345+Q345</f>
        <v>2</v>
      </c>
    </row>
    <row r="346" spans="1:18">
      <c r="B346" t="str">
        <f>B345</f>
        <v>SHOW</v>
      </c>
      <c r="I346" s="8"/>
      <c r="J346" s="8"/>
      <c r="K346" s="8"/>
      <c r="L346" s="8"/>
      <c r="M346" s="8"/>
    </row>
    <row r="347" spans="1:18">
      <c r="B347" t="str">
        <f>B357</f>
        <v>SHOW</v>
      </c>
      <c r="C347">
        <v>51200</v>
      </c>
      <c r="F347" s="3" t="str">
        <f>"Benefits"</f>
        <v>Benefits</v>
      </c>
      <c r="I347" s="8"/>
      <c r="J347" s="8"/>
      <c r="K347" s="8"/>
      <c r="L347" s="8"/>
      <c r="M347" s="8"/>
    </row>
    <row r="348" spans="1:18">
      <c r="B348" t="str">
        <f>IF(R348=0,"HIDE","SHOW")</f>
        <v>SHOW</v>
      </c>
      <c r="C348" t="s">
        <v>48</v>
      </c>
      <c r="D348" t="str">
        <f>"""Mission ERP"",""GBRA"",""15"",""1"",""51201"""</f>
        <v>"Mission ERP","GBRA","15","1","51201"</v>
      </c>
      <c r="E348" t="str">
        <f>"51201"</f>
        <v>51201</v>
      </c>
      <c r="F348" t="str">
        <f>"BEN-FICA/MED"</f>
        <v>BEN-FICA/MED</v>
      </c>
      <c r="I348" s="8">
        <v>1335323</v>
      </c>
      <c r="J348" s="8"/>
      <c r="K348" s="8">
        <v>1583298</v>
      </c>
      <c r="L348" s="8"/>
      <c r="M348" s="8">
        <f>K348-I348</f>
        <v>247975</v>
      </c>
      <c r="P348">
        <f>IF(I348=0,0,1)</f>
        <v>1</v>
      </c>
      <c r="Q348">
        <f>IF(K348=0,0,1)</f>
        <v>1</v>
      </c>
      <c r="R348">
        <f>P348+Q348</f>
        <v>2</v>
      </c>
    </row>
    <row r="349" spans="1:18">
      <c r="A349" t="s">
        <v>26</v>
      </c>
      <c r="B349" t="str">
        <f t="shared" ref="B349:B355" si="90">IF(R349=0,"HIDE","SHOW")</f>
        <v>SHOW</v>
      </c>
      <c r="C349" t="s">
        <v>48</v>
      </c>
      <c r="D349" t="str">
        <f>"""Mission ERP"",""GBRA"",""15"",""1"",""51202"""</f>
        <v>"Mission ERP","GBRA","15","1","51202"</v>
      </c>
      <c r="E349" t="str">
        <f>"51202"</f>
        <v>51202</v>
      </c>
      <c r="F349" t="str">
        <f>"BEN-RETIREMENT"</f>
        <v>BEN-RETIREMENT</v>
      </c>
      <c r="I349" s="8">
        <v>2695307</v>
      </c>
      <c r="J349" s="8"/>
      <c r="K349" s="8">
        <v>2963795</v>
      </c>
      <c r="L349" s="8"/>
      <c r="M349" s="8">
        <f t="shared" ref="M349:M355" si="91">K349-I349</f>
        <v>268488</v>
      </c>
      <c r="P349">
        <f t="shared" ref="P349:P355" si="92">IF(I349=0,0,1)</f>
        <v>1</v>
      </c>
      <c r="Q349">
        <f t="shared" ref="Q349:Q355" si="93">IF(K349=0,0,1)</f>
        <v>1</v>
      </c>
      <c r="R349">
        <f t="shared" ref="R349:R355" si="94">P349+Q349</f>
        <v>2</v>
      </c>
    </row>
    <row r="350" spans="1:18">
      <c r="A350" t="s">
        <v>26</v>
      </c>
      <c r="B350" t="str">
        <f t="shared" si="90"/>
        <v>SHOW</v>
      </c>
      <c r="C350" t="s">
        <v>48</v>
      </c>
      <c r="D350" t="str">
        <f>"""Mission ERP"",""GBRA"",""15"",""1"",""51203"""</f>
        <v>"Mission ERP","GBRA","15","1","51203"</v>
      </c>
      <c r="E350" t="str">
        <f>"51203"</f>
        <v>51203</v>
      </c>
      <c r="F350" t="str">
        <f>"BEN-HEALTH/DENTAL/VISION INSURANCE"</f>
        <v>BEN-HEALTH/DENTAL/VISION INSURANCE</v>
      </c>
      <c r="I350" s="8">
        <v>2532601</v>
      </c>
      <c r="J350" s="8"/>
      <c r="K350" s="8">
        <v>3111236</v>
      </c>
      <c r="L350" s="8"/>
      <c r="M350" s="8">
        <f t="shared" si="91"/>
        <v>578635</v>
      </c>
      <c r="P350">
        <f t="shared" si="92"/>
        <v>1</v>
      </c>
      <c r="Q350">
        <f t="shared" si="93"/>
        <v>1</v>
      </c>
      <c r="R350">
        <f t="shared" si="94"/>
        <v>2</v>
      </c>
    </row>
    <row r="351" spans="1:18">
      <c r="A351" t="s">
        <v>26</v>
      </c>
      <c r="B351" t="str">
        <f t="shared" si="90"/>
        <v>SHOW</v>
      </c>
      <c r="C351" t="s">
        <v>48</v>
      </c>
      <c r="D351" t="str">
        <f>"""Mission ERP"",""GBRA"",""15"",""1"",""51204"""</f>
        <v>"Mission ERP","GBRA","15","1","51204"</v>
      </c>
      <c r="E351" t="str">
        <f>"51204"</f>
        <v>51204</v>
      </c>
      <c r="F351" t="str">
        <f>"BEN-LIFE INSURANCE, LTD, AD&amp;D"</f>
        <v>BEN-LIFE INSURANCE, LTD, AD&amp;D</v>
      </c>
      <c r="I351" s="8">
        <v>155100</v>
      </c>
      <c r="J351" s="8"/>
      <c r="K351" s="8">
        <v>185911</v>
      </c>
      <c r="L351" s="8"/>
      <c r="M351" s="8">
        <f t="shared" si="91"/>
        <v>30811</v>
      </c>
      <c r="P351">
        <f t="shared" si="92"/>
        <v>1</v>
      </c>
      <c r="Q351">
        <f t="shared" si="93"/>
        <v>1</v>
      </c>
      <c r="R351">
        <f t="shared" si="94"/>
        <v>2</v>
      </c>
    </row>
    <row r="352" spans="1:18" hidden="1">
      <c r="A352" t="s">
        <v>26</v>
      </c>
      <c r="B352" t="str">
        <f t="shared" si="90"/>
        <v>HIDE</v>
      </c>
      <c r="C352" t="s">
        <v>48</v>
      </c>
      <c r="D352" t="str">
        <f>"""Mission ERP"",""GBRA"",""15"",""1"",""51205"""</f>
        <v>"Mission ERP","GBRA","15","1","51205"</v>
      </c>
      <c r="E352" t="str">
        <f>"51205"</f>
        <v>51205</v>
      </c>
      <c r="F352" t="str">
        <f>"BEN-WORKERS COMP"</f>
        <v>BEN-WORKERS COMP</v>
      </c>
      <c r="I352" s="8">
        <v>0</v>
      </c>
      <c r="J352" s="8"/>
      <c r="K352" s="8">
        <v>0</v>
      </c>
      <c r="L352" s="8"/>
      <c r="M352" s="8">
        <f t="shared" si="91"/>
        <v>0</v>
      </c>
      <c r="P352">
        <f t="shared" si="92"/>
        <v>0</v>
      </c>
      <c r="Q352">
        <f t="shared" si="93"/>
        <v>0</v>
      </c>
      <c r="R352">
        <f t="shared" si="94"/>
        <v>0</v>
      </c>
    </row>
    <row r="353" spans="1:19" hidden="1">
      <c r="A353" t="s">
        <v>26</v>
      </c>
      <c r="B353" t="str">
        <f t="shared" si="90"/>
        <v>HIDE</v>
      </c>
      <c r="C353" t="s">
        <v>48</v>
      </c>
      <c r="D353" t="str">
        <f>"""Mission ERP"",""GBRA"",""15"",""1"",""51206"""</f>
        <v>"Mission ERP","GBRA","15","1","51206"</v>
      </c>
      <c r="E353" t="str">
        <f>"51206"</f>
        <v>51206</v>
      </c>
      <c r="F353" t="str">
        <f>"BEN-UNEMPLOYMENT"</f>
        <v>BEN-UNEMPLOYMENT</v>
      </c>
      <c r="I353" s="8">
        <v>0</v>
      </c>
      <c r="J353" s="8"/>
      <c r="K353" s="8">
        <v>0</v>
      </c>
      <c r="L353" s="8"/>
      <c r="M353" s="8">
        <f t="shared" si="91"/>
        <v>0</v>
      </c>
      <c r="P353">
        <f t="shared" si="92"/>
        <v>0</v>
      </c>
      <c r="Q353">
        <f t="shared" si="93"/>
        <v>0</v>
      </c>
      <c r="R353">
        <f t="shared" si="94"/>
        <v>0</v>
      </c>
    </row>
    <row r="354" spans="1:19">
      <c r="A354" t="s">
        <v>26</v>
      </c>
      <c r="B354" t="str">
        <f t="shared" si="90"/>
        <v>SHOW</v>
      </c>
      <c r="C354" t="s">
        <v>48</v>
      </c>
      <c r="D354" t="str">
        <f>"""Mission ERP"",""GBRA"",""15"",""1"",""51220"""</f>
        <v>"Mission ERP","GBRA","15","1","51220"</v>
      </c>
      <c r="E354" t="str">
        <f>"51220"</f>
        <v>51220</v>
      </c>
      <c r="F354" t="str">
        <f>"BEN-OTHER BENEFIT EXP"</f>
        <v>BEN-OTHER BENEFIT EXP</v>
      </c>
      <c r="I354" s="8">
        <v>0</v>
      </c>
      <c r="J354" s="8"/>
      <c r="K354" s="8">
        <v>17300</v>
      </c>
      <c r="L354" s="8"/>
      <c r="M354" s="8">
        <f t="shared" si="91"/>
        <v>17300</v>
      </c>
      <c r="P354">
        <f t="shared" si="92"/>
        <v>0</v>
      </c>
      <c r="Q354">
        <f t="shared" si="93"/>
        <v>1</v>
      </c>
      <c r="R354">
        <f t="shared" si="94"/>
        <v>1</v>
      </c>
    </row>
    <row r="355" spans="1:19">
      <c r="A355" t="s">
        <v>26</v>
      </c>
      <c r="B355" t="str">
        <f t="shared" si="90"/>
        <v>SHOW</v>
      </c>
      <c r="C355" t="s">
        <v>48</v>
      </c>
      <c r="D355" t="str">
        <f>"""Mission ERP"",""GBRA"",""15"",""1"",""51298"""</f>
        <v>"Mission ERP","GBRA","15","1","51298"</v>
      </c>
      <c r="E355" t="str">
        <f>"51298"</f>
        <v>51298</v>
      </c>
      <c r="F355" t="str">
        <f>"BEN-BENEFIT ALLOCATION"</f>
        <v>BEN-BENEFIT ALLOCATION</v>
      </c>
      <c r="I355" s="8">
        <v>44991</v>
      </c>
      <c r="J355" s="8"/>
      <c r="K355" s="8">
        <v>1</v>
      </c>
      <c r="L355" s="8"/>
      <c r="M355" s="8">
        <f t="shared" si="91"/>
        <v>-44990</v>
      </c>
      <c r="P355">
        <f t="shared" si="92"/>
        <v>1</v>
      </c>
      <c r="Q355">
        <f t="shared" si="93"/>
        <v>1</v>
      </c>
      <c r="R355">
        <f t="shared" si="94"/>
        <v>2</v>
      </c>
    </row>
    <row r="356" spans="1:19" hidden="1">
      <c r="B356" t="s">
        <v>16</v>
      </c>
      <c r="I356" s="9"/>
      <c r="J356" s="8"/>
      <c r="K356" s="9"/>
      <c r="L356" s="8"/>
      <c r="M356" s="9"/>
    </row>
    <row r="357" spans="1:19">
      <c r="B357" t="str">
        <f>IF(R357=0,"HIDE","SHOW")</f>
        <v>SHOW</v>
      </c>
      <c r="F357" s="3" t="str">
        <f>CONCATENATE("Total ",F347)</f>
        <v>Total Benefits</v>
      </c>
      <c r="I357" s="10">
        <f>SUM(I348:I356)</f>
        <v>6763322</v>
      </c>
      <c r="J357" s="11"/>
      <c r="K357" s="10">
        <f>SUM(K348:K356)</f>
        <v>7861541</v>
      </c>
      <c r="L357" s="11"/>
      <c r="M357" s="10">
        <f>K357-I357</f>
        <v>1098219</v>
      </c>
      <c r="P357">
        <f>IF(I357=0,0,1)</f>
        <v>1</v>
      </c>
      <c r="Q357">
        <f>IF(K357=0,0,1)</f>
        <v>1</v>
      </c>
      <c r="R357">
        <f>P357+Q357</f>
        <v>2</v>
      </c>
    </row>
    <row r="358" spans="1:19">
      <c r="B358" t="str">
        <f>B357</f>
        <v>SHOW</v>
      </c>
      <c r="I358" s="8"/>
      <c r="J358" s="8"/>
      <c r="K358" s="8"/>
      <c r="L358" s="8"/>
      <c r="M358" s="8"/>
    </row>
    <row r="359" spans="1:19">
      <c r="B359" t="str">
        <f>B389</f>
        <v>SHOW</v>
      </c>
      <c r="C359">
        <v>52100</v>
      </c>
      <c r="F359" s="3" t="str">
        <f>"Operating Supplies &amp; Services"</f>
        <v>Operating Supplies &amp; Services</v>
      </c>
      <c r="I359" s="8"/>
      <c r="J359" s="8"/>
      <c r="K359" s="8"/>
      <c r="L359" s="8"/>
      <c r="M359" s="8"/>
    </row>
    <row r="360" spans="1:19">
      <c r="B360" t="str">
        <f>IF(R360=0,"HIDE","SHOW")</f>
        <v>SHOW</v>
      </c>
      <c r="C360" t="s">
        <v>49</v>
      </c>
      <c r="D360" t="str">
        <f>"""Mission ERP"",""GBRA"",""15"",""1"",""52101"""</f>
        <v>"Mission ERP","GBRA","15","1","52101"</v>
      </c>
      <c r="E360" t="str">
        <f>"52101"</f>
        <v>52101</v>
      </c>
      <c r="F360" t="str">
        <f>"OPR-POWER &amp; UTILITIES"</f>
        <v>OPR-POWER &amp; UTILITIES</v>
      </c>
      <c r="I360" s="8">
        <v>7323686</v>
      </c>
      <c r="J360" s="8"/>
      <c r="K360" s="8">
        <v>8374060</v>
      </c>
      <c r="L360" s="8"/>
      <c r="M360" s="8">
        <f>K360-I360</f>
        <v>1050374</v>
      </c>
      <c r="P360">
        <f>IF(I360=0,0,1)</f>
        <v>1</v>
      </c>
      <c r="Q360">
        <f>IF(K360=0,0,1)</f>
        <v>1</v>
      </c>
      <c r="R360">
        <f>P360+Q360</f>
        <v>2</v>
      </c>
      <c r="S360" s="17"/>
    </row>
    <row r="361" spans="1:19">
      <c r="A361" t="s">
        <v>26</v>
      </c>
      <c r="B361" t="str">
        <f t="shared" ref="B361:B387" si="95">IF(R361=0,"HIDE","SHOW")</f>
        <v>SHOW</v>
      </c>
      <c r="C361" t="s">
        <v>49</v>
      </c>
      <c r="D361" t="str">
        <f>"""Mission ERP"",""GBRA"",""15"",""1"",""52102"""</f>
        <v>"Mission ERP","GBRA","15","1","52102"</v>
      </c>
      <c r="E361" t="str">
        <f>"52102"</f>
        <v>52102</v>
      </c>
      <c r="F361" t="str">
        <f>"OPR-AUXILIARY POWER EXPENSE"</f>
        <v>OPR-AUXILIARY POWER EXPENSE</v>
      </c>
      <c r="I361" s="8">
        <v>306108</v>
      </c>
      <c r="J361" s="8"/>
      <c r="K361" s="8">
        <v>301250</v>
      </c>
      <c r="L361" s="8"/>
      <c r="M361" s="8">
        <f t="shared" ref="M361:M387" si="96">K361-I361</f>
        <v>-4858</v>
      </c>
      <c r="P361">
        <f t="shared" ref="P361:P387" si="97">IF(I361=0,0,1)</f>
        <v>1</v>
      </c>
      <c r="Q361">
        <f t="shared" ref="Q361:Q387" si="98">IF(K361=0,0,1)</f>
        <v>1</v>
      </c>
      <c r="R361">
        <f t="shared" ref="R361:R387" si="99">P361+Q361</f>
        <v>2</v>
      </c>
      <c r="S361" s="17"/>
    </row>
    <row r="362" spans="1:19">
      <c r="A362" t="s">
        <v>26</v>
      </c>
      <c r="B362" t="str">
        <f t="shared" si="95"/>
        <v>SHOW</v>
      </c>
      <c r="C362" t="s">
        <v>49</v>
      </c>
      <c r="D362" t="str">
        <f>"""Mission ERP"",""GBRA"",""15"",""1"",""52103"""</f>
        <v>"Mission ERP","GBRA","15","1","52103"</v>
      </c>
      <c r="E362" t="str">
        <f>"52103"</f>
        <v>52103</v>
      </c>
      <c r="F362" t="str">
        <f>"OPR-CHEMICALS"</f>
        <v>OPR-CHEMICALS</v>
      </c>
      <c r="I362" s="8">
        <v>3540609</v>
      </c>
      <c r="J362" s="8"/>
      <c r="K362" s="8">
        <v>5708117</v>
      </c>
      <c r="L362" s="8"/>
      <c r="M362" s="8">
        <f t="shared" si="96"/>
        <v>2167508</v>
      </c>
      <c r="P362">
        <f t="shared" si="97"/>
        <v>1</v>
      </c>
      <c r="Q362">
        <f t="shared" si="98"/>
        <v>1</v>
      </c>
      <c r="R362">
        <f t="shared" si="99"/>
        <v>2</v>
      </c>
      <c r="S362" s="17"/>
    </row>
    <row r="363" spans="1:19">
      <c r="A363" t="s">
        <v>26</v>
      </c>
      <c r="B363" t="str">
        <f t="shared" si="95"/>
        <v>SHOW</v>
      </c>
      <c r="C363" t="s">
        <v>49</v>
      </c>
      <c r="D363" t="str">
        <f>"""Mission ERP"",""GBRA"",""15"",""1"",""52110"""</f>
        <v>"Mission ERP","GBRA","15","1","52110"</v>
      </c>
      <c r="E363" t="str">
        <f>"52110"</f>
        <v>52110</v>
      </c>
      <c r="F363" t="str">
        <f>"OPR-SMALL TOOLS AND SUPPLIES"</f>
        <v>OPR-SMALL TOOLS AND SUPPLIES</v>
      </c>
      <c r="I363" s="8">
        <v>181103</v>
      </c>
      <c r="J363" s="8"/>
      <c r="K363" s="8">
        <v>169916</v>
      </c>
      <c r="L363" s="8"/>
      <c r="M363" s="8">
        <f t="shared" si="96"/>
        <v>-11187</v>
      </c>
      <c r="P363">
        <f t="shared" si="97"/>
        <v>1</v>
      </c>
      <c r="Q363">
        <f t="shared" si="98"/>
        <v>1</v>
      </c>
      <c r="R363">
        <f t="shared" si="99"/>
        <v>2</v>
      </c>
      <c r="S363" s="17"/>
    </row>
    <row r="364" spans="1:19">
      <c r="A364" t="s">
        <v>26</v>
      </c>
      <c r="B364" t="str">
        <f t="shared" si="95"/>
        <v>SHOW</v>
      </c>
      <c r="C364" t="s">
        <v>49</v>
      </c>
      <c r="D364" t="str">
        <f>"""Mission ERP"",""GBRA"",""15"",""1"",""52111"""</f>
        <v>"Mission ERP","GBRA","15","1","52111"</v>
      </c>
      <c r="E364" t="str">
        <f>"52111"</f>
        <v>52111</v>
      </c>
      <c r="F364" t="str">
        <f>"OPR-PUBLIC NOTICES AND COMMUNICATIONS"</f>
        <v>OPR-PUBLIC NOTICES AND COMMUNICATIONS</v>
      </c>
      <c r="I364" s="8">
        <v>123150</v>
      </c>
      <c r="J364" s="8"/>
      <c r="K364" s="8">
        <v>63000</v>
      </c>
      <c r="L364" s="8"/>
      <c r="M364" s="8">
        <f t="shared" si="96"/>
        <v>-60150</v>
      </c>
      <c r="P364">
        <f t="shared" si="97"/>
        <v>1</v>
      </c>
      <c r="Q364">
        <f t="shared" si="98"/>
        <v>1</v>
      </c>
      <c r="R364">
        <f t="shared" si="99"/>
        <v>2</v>
      </c>
      <c r="S364" s="17"/>
    </row>
    <row r="365" spans="1:19">
      <c r="A365" t="s">
        <v>26</v>
      </c>
      <c r="B365" t="str">
        <f t="shared" si="95"/>
        <v>SHOW</v>
      </c>
      <c r="C365" t="s">
        <v>49</v>
      </c>
      <c r="D365" t="str">
        <f>"""Mission ERP"",""GBRA"",""15"",""1"",""52113"""</f>
        <v>"Mission ERP","GBRA","15","1","52113"</v>
      </c>
      <c r="E365" t="str">
        <f>"52113"</f>
        <v>52113</v>
      </c>
      <c r="F365" t="str">
        <f>"OPR-LAB SUPPLIES"</f>
        <v>OPR-LAB SUPPLIES</v>
      </c>
      <c r="I365" s="8">
        <v>348517</v>
      </c>
      <c r="J365" s="8"/>
      <c r="K365" s="8">
        <v>452139</v>
      </c>
      <c r="L365" s="8"/>
      <c r="M365" s="8">
        <f t="shared" si="96"/>
        <v>103622</v>
      </c>
      <c r="P365">
        <f t="shared" si="97"/>
        <v>1</v>
      </c>
      <c r="Q365">
        <f t="shared" si="98"/>
        <v>1</v>
      </c>
      <c r="R365">
        <f t="shared" si="99"/>
        <v>2</v>
      </c>
      <c r="S365" s="17"/>
    </row>
    <row r="366" spans="1:19">
      <c r="A366" t="s">
        <v>26</v>
      </c>
      <c r="B366" t="str">
        <f t="shared" si="95"/>
        <v>SHOW</v>
      </c>
      <c r="C366" t="s">
        <v>49</v>
      </c>
      <c r="D366" t="str">
        <f>"""Mission ERP"",""GBRA"",""15"",""1"",""52114"""</f>
        <v>"Mission ERP","GBRA","15","1","52114"</v>
      </c>
      <c r="E366" t="str">
        <f>"52114"</f>
        <v>52114</v>
      </c>
      <c r="F366" t="str">
        <f>"OPR-LABORATORY SERVICES-GBRA"</f>
        <v>OPR-LABORATORY SERVICES-GBRA</v>
      </c>
      <c r="I366" s="8">
        <v>632577</v>
      </c>
      <c r="J366" s="8"/>
      <c r="K366" s="8">
        <v>771632</v>
      </c>
      <c r="L366" s="8"/>
      <c r="M366" s="8">
        <f t="shared" si="96"/>
        <v>139055</v>
      </c>
      <c r="P366">
        <f t="shared" si="97"/>
        <v>1</v>
      </c>
      <c r="Q366">
        <f t="shared" si="98"/>
        <v>1</v>
      </c>
      <c r="R366">
        <f t="shared" si="99"/>
        <v>2</v>
      </c>
      <c r="S366" s="17"/>
    </row>
    <row r="367" spans="1:19">
      <c r="A367" t="s">
        <v>26</v>
      </c>
      <c r="B367" t="str">
        <f t="shared" si="95"/>
        <v>SHOW</v>
      </c>
      <c r="C367" t="s">
        <v>49</v>
      </c>
      <c r="D367" t="str">
        <f>"""Mission ERP"",""GBRA"",""15"",""1"",""52115"""</f>
        <v>"Mission ERP","GBRA","15","1","52115"</v>
      </c>
      <c r="E367" t="str">
        <f>"52115"</f>
        <v>52115</v>
      </c>
      <c r="F367" t="str">
        <f>"OPR-LABORATORY SERVICES-OUTSOURCED"</f>
        <v>OPR-LABORATORY SERVICES-OUTSOURCED</v>
      </c>
      <c r="I367" s="8">
        <v>112099</v>
      </c>
      <c r="J367" s="8"/>
      <c r="K367" s="8">
        <v>171639</v>
      </c>
      <c r="L367" s="8"/>
      <c r="M367" s="8">
        <f t="shared" si="96"/>
        <v>59540</v>
      </c>
      <c r="P367">
        <f t="shared" si="97"/>
        <v>1</v>
      </c>
      <c r="Q367">
        <f t="shared" si="98"/>
        <v>1</v>
      </c>
      <c r="R367">
        <f t="shared" si="99"/>
        <v>2</v>
      </c>
      <c r="S367" s="17"/>
    </row>
    <row r="368" spans="1:19">
      <c r="A368" t="s">
        <v>26</v>
      </c>
      <c r="B368" t="str">
        <f t="shared" si="95"/>
        <v>SHOW</v>
      </c>
      <c r="C368" t="s">
        <v>49</v>
      </c>
      <c r="D368" t="str">
        <f>"""Mission ERP"",""GBRA"",""15"",""1"",""52118"""</f>
        <v>"Mission ERP","GBRA","15","1","52118"</v>
      </c>
      <c r="E368" t="str">
        <f>"52118"</f>
        <v>52118</v>
      </c>
      <c r="F368" t="str">
        <f>"OPR-DISPOSAL SERVICES"</f>
        <v>OPR-DISPOSAL SERVICES</v>
      </c>
      <c r="I368" s="8">
        <v>1638056</v>
      </c>
      <c r="J368" s="8"/>
      <c r="K368" s="8">
        <v>1890798</v>
      </c>
      <c r="L368" s="8"/>
      <c r="M368" s="8">
        <f t="shared" si="96"/>
        <v>252742</v>
      </c>
      <c r="P368">
        <f t="shared" si="97"/>
        <v>1</v>
      </c>
      <c r="Q368">
        <f t="shared" si="98"/>
        <v>1</v>
      </c>
      <c r="R368">
        <f t="shared" si="99"/>
        <v>2</v>
      </c>
      <c r="S368" s="17"/>
    </row>
    <row r="369" spans="1:19">
      <c r="A369" t="s">
        <v>26</v>
      </c>
      <c r="B369" t="str">
        <f t="shared" si="95"/>
        <v>SHOW</v>
      </c>
      <c r="C369" t="s">
        <v>49</v>
      </c>
      <c r="D369" t="str">
        <f>"""Mission ERP"",""GBRA"",""15"",""1"",""52120"""</f>
        <v>"Mission ERP","GBRA","15","1","52120"</v>
      </c>
      <c r="E369" t="str">
        <f>"52120"</f>
        <v>52120</v>
      </c>
      <c r="F369" t="str">
        <f>"OPR-UNIFORMS/BUSINESS ATTIRE"</f>
        <v>OPR-UNIFORMS/BUSINESS ATTIRE</v>
      </c>
      <c r="I369" s="8">
        <v>136624</v>
      </c>
      <c r="J369" s="8"/>
      <c r="K369" s="8">
        <v>167970</v>
      </c>
      <c r="L369" s="8"/>
      <c r="M369" s="8">
        <f t="shared" si="96"/>
        <v>31346</v>
      </c>
      <c r="P369">
        <f t="shared" si="97"/>
        <v>1</v>
      </c>
      <c r="Q369">
        <f t="shared" si="98"/>
        <v>1</v>
      </c>
      <c r="R369">
        <f t="shared" si="99"/>
        <v>2</v>
      </c>
      <c r="S369" s="17"/>
    </row>
    <row r="370" spans="1:19">
      <c r="A370" t="s">
        <v>26</v>
      </c>
      <c r="B370" t="str">
        <f t="shared" si="95"/>
        <v>SHOW</v>
      </c>
      <c r="C370" t="s">
        <v>49</v>
      </c>
      <c r="D370" t="str">
        <f>"""Mission ERP"",""GBRA"",""15"",""1"",""52121"""</f>
        <v>"Mission ERP","GBRA","15","1","52121"</v>
      </c>
      <c r="E370" t="str">
        <f>"52121"</f>
        <v>52121</v>
      </c>
      <c r="F370" t="str">
        <f>"OPR-SAFETY &amp; EMERGENCY EXPENSE"</f>
        <v>OPR-SAFETY &amp; EMERGENCY EXPENSE</v>
      </c>
      <c r="I370" s="8">
        <v>146860</v>
      </c>
      <c r="J370" s="8"/>
      <c r="K370" s="8">
        <v>170710</v>
      </c>
      <c r="L370" s="8"/>
      <c r="M370" s="8">
        <f t="shared" si="96"/>
        <v>23850</v>
      </c>
      <c r="P370">
        <f t="shared" si="97"/>
        <v>1</v>
      </c>
      <c r="Q370">
        <f t="shared" si="98"/>
        <v>1</v>
      </c>
      <c r="R370">
        <f t="shared" si="99"/>
        <v>2</v>
      </c>
      <c r="S370" s="17"/>
    </row>
    <row r="371" spans="1:19">
      <c r="A371" t="s">
        <v>26</v>
      </c>
      <c r="B371" t="str">
        <f t="shared" si="95"/>
        <v>SHOW</v>
      </c>
      <c r="C371" t="s">
        <v>49</v>
      </c>
      <c r="D371" t="str">
        <f>"""Mission ERP"",""GBRA"",""15"",""1"",""52122"""</f>
        <v>"Mission ERP","GBRA","15","1","52122"</v>
      </c>
      <c r="E371" t="str">
        <f>"52122"</f>
        <v>52122</v>
      </c>
      <c r="F371" t="str">
        <f>"OPR-SECURITY EXPENSE"</f>
        <v>OPR-SECURITY EXPENSE</v>
      </c>
      <c r="I371" s="8">
        <v>41300</v>
      </c>
      <c r="J371" s="8"/>
      <c r="K371" s="8">
        <v>31600</v>
      </c>
      <c r="L371" s="8"/>
      <c r="M371" s="8">
        <f t="shared" si="96"/>
        <v>-9700</v>
      </c>
      <c r="P371">
        <f t="shared" si="97"/>
        <v>1</v>
      </c>
      <c r="Q371">
        <f t="shared" si="98"/>
        <v>1</v>
      </c>
      <c r="R371">
        <f t="shared" si="99"/>
        <v>2</v>
      </c>
      <c r="S371" s="17"/>
    </row>
    <row r="372" spans="1:19">
      <c r="A372" t="s">
        <v>26</v>
      </c>
      <c r="B372" t="str">
        <f t="shared" si="95"/>
        <v>SHOW</v>
      </c>
      <c r="C372" t="s">
        <v>49</v>
      </c>
      <c r="D372" t="str">
        <f>"""Mission ERP"",""GBRA"",""15"",""1"",""52123"""</f>
        <v>"Mission ERP","GBRA","15","1","52123"</v>
      </c>
      <c r="E372" t="str">
        <f>"52123"</f>
        <v>52123</v>
      </c>
      <c r="F372" t="str">
        <f>"OPR-EQUIPMENT RENTAL"</f>
        <v>OPR-EQUIPMENT RENTAL</v>
      </c>
      <c r="I372" s="8">
        <v>328165</v>
      </c>
      <c r="J372" s="8"/>
      <c r="K372" s="8">
        <v>349865</v>
      </c>
      <c r="L372" s="8"/>
      <c r="M372" s="8">
        <f t="shared" si="96"/>
        <v>21700</v>
      </c>
      <c r="P372">
        <f t="shared" si="97"/>
        <v>1</v>
      </c>
      <c r="Q372">
        <f t="shared" si="98"/>
        <v>1</v>
      </c>
      <c r="R372">
        <f t="shared" si="99"/>
        <v>2</v>
      </c>
      <c r="S372" s="17"/>
    </row>
    <row r="373" spans="1:19">
      <c r="A373" t="s">
        <v>26</v>
      </c>
      <c r="B373" t="str">
        <f t="shared" si="95"/>
        <v>SHOW</v>
      </c>
      <c r="C373" t="s">
        <v>49</v>
      </c>
      <c r="D373" t="str">
        <f>"""Mission ERP"",""GBRA"",""15"",""1"",""52124"""</f>
        <v>"Mission ERP","GBRA","15","1","52124"</v>
      </c>
      <c r="E373" t="str">
        <f>"52124"</f>
        <v>52124</v>
      </c>
      <c r="F373" t="str">
        <f>"OPR-EQUIPMENT EXPENSE"</f>
        <v>OPR-EQUIPMENT EXPENSE</v>
      </c>
      <c r="I373" s="8">
        <v>161850</v>
      </c>
      <c r="J373" s="8"/>
      <c r="K373" s="8">
        <v>170600</v>
      </c>
      <c r="L373" s="8"/>
      <c r="M373" s="8">
        <f t="shared" si="96"/>
        <v>8750</v>
      </c>
      <c r="P373">
        <f t="shared" si="97"/>
        <v>1</v>
      </c>
      <c r="Q373">
        <f t="shared" si="98"/>
        <v>1</v>
      </c>
      <c r="R373">
        <f t="shared" si="99"/>
        <v>2</v>
      </c>
      <c r="S373" s="17"/>
    </row>
    <row r="374" spans="1:19">
      <c r="A374" t="s">
        <v>26</v>
      </c>
      <c r="B374" t="str">
        <f t="shared" si="95"/>
        <v>SHOW</v>
      </c>
      <c r="C374" t="s">
        <v>49</v>
      </c>
      <c r="D374" t="str">
        <f>"""Mission ERP"",""GBRA"",""15"",""1"",""52125"""</f>
        <v>"Mission ERP","GBRA","15","1","52125"</v>
      </c>
      <c r="E374" t="str">
        <f>"52125"</f>
        <v>52125</v>
      </c>
      <c r="F374" t="str">
        <f>"OPR-VEHICLE EXPENSE"</f>
        <v>OPR-VEHICLE EXPENSE</v>
      </c>
      <c r="I374" s="8">
        <v>621372</v>
      </c>
      <c r="J374" s="8"/>
      <c r="K374" s="8">
        <v>539278</v>
      </c>
      <c r="L374" s="8"/>
      <c r="M374" s="8">
        <f t="shared" si="96"/>
        <v>-82094</v>
      </c>
      <c r="P374">
        <f t="shared" si="97"/>
        <v>1</v>
      </c>
      <c r="Q374">
        <f t="shared" si="98"/>
        <v>1</v>
      </c>
      <c r="R374">
        <f t="shared" si="99"/>
        <v>2</v>
      </c>
      <c r="S374" s="17"/>
    </row>
    <row r="375" spans="1:19">
      <c r="A375" t="s">
        <v>26</v>
      </c>
      <c r="B375" t="str">
        <f t="shared" si="95"/>
        <v>SHOW</v>
      </c>
      <c r="C375" t="s">
        <v>49</v>
      </c>
      <c r="D375" t="str">
        <f>"""Mission ERP"",""GBRA"",""15"",""1"",""52126"""</f>
        <v>"Mission ERP","GBRA","15","1","52126"</v>
      </c>
      <c r="E375" t="str">
        <f>"52126"</f>
        <v>52126</v>
      </c>
      <c r="F375" t="str">
        <f>"OPR-FLEET LEASE EXPENSE"</f>
        <v>OPR-FLEET LEASE EXPENSE</v>
      </c>
      <c r="I375" s="8">
        <v>487287</v>
      </c>
      <c r="J375" s="8"/>
      <c r="K375" s="8">
        <v>537410</v>
      </c>
      <c r="L375" s="8"/>
      <c r="M375" s="8">
        <f t="shared" si="96"/>
        <v>50123</v>
      </c>
      <c r="P375">
        <f t="shared" si="97"/>
        <v>1</v>
      </c>
      <c r="Q375">
        <f t="shared" si="98"/>
        <v>1</v>
      </c>
      <c r="R375">
        <f t="shared" si="99"/>
        <v>2</v>
      </c>
      <c r="S375" s="17"/>
    </row>
    <row r="376" spans="1:19">
      <c r="A376" t="s">
        <v>26</v>
      </c>
      <c r="B376" t="str">
        <f t="shared" si="95"/>
        <v>SHOW</v>
      </c>
      <c r="C376" t="s">
        <v>49</v>
      </c>
      <c r="D376" t="str">
        <f>"""Mission ERP"",""GBRA"",""15"",""1"",""52127"""</f>
        <v>"Mission ERP","GBRA","15","1","52127"</v>
      </c>
      <c r="E376" t="str">
        <f>"52127"</f>
        <v>52127</v>
      </c>
      <c r="F376" t="str">
        <f>"OPR-EQUIP USE CREDIT"</f>
        <v>OPR-EQUIP USE CREDIT</v>
      </c>
      <c r="I376" s="8">
        <v>0</v>
      </c>
      <c r="J376" s="8"/>
      <c r="K376" s="8">
        <v>3500</v>
      </c>
      <c r="L376" s="8"/>
      <c r="M376" s="8">
        <f t="shared" si="96"/>
        <v>3500</v>
      </c>
      <c r="P376">
        <f t="shared" si="97"/>
        <v>0</v>
      </c>
      <c r="Q376">
        <f t="shared" si="98"/>
        <v>1</v>
      </c>
      <c r="R376">
        <f t="shared" si="99"/>
        <v>1</v>
      </c>
      <c r="S376" s="17"/>
    </row>
    <row r="377" spans="1:19" hidden="1">
      <c r="A377" t="s">
        <v>26</v>
      </c>
      <c r="B377" t="str">
        <f t="shared" si="95"/>
        <v>HIDE</v>
      </c>
      <c r="C377" t="s">
        <v>49</v>
      </c>
      <c r="D377" t="str">
        <f>"""Mission ERP"",""GBRA"",""15"",""1"",""52128"""</f>
        <v>"Mission ERP","GBRA","15","1","52128"</v>
      </c>
      <c r="E377" t="str">
        <f>"52128"</f>
        <v>52128</v>
      </c>
      <c r="F377" t="str">
        <f>"OLD-DO NOT USE, OPR-MOWING EXPENSE"</f>
        <v>OLD-DO NOT USE, OPR-MOWING EXPENSE</v>
      </c>
      <c r="I377" s="8">
        <v>0</v>
      </c>
      <c r="J377" s="8"/>
      <c r="K377" s="8">
        <v>0</v>
      </c>
      <c r="L377" s="8"/>
      <c r="M377" s="8">
        <f t="shared" si="96"/>
        <v>0</v>
      </c>
      <c r="P377">
        <f t="shared" si="97"/>
        <v>0</v>
      </c>
      <c r="Q377">
        <f t="shared" si="98"/>
        <v>0</v>
      </c>
      <c r="R377">
        <f t="shared" si="99"/>
        <v>0</v>
      </c>
      <c r="S377" s="17"/>
    </row>
    <row r="378" spans="1:19" hidden="1">
      <c r="A378" t="s">
        <v>26</v>
      </c>
      <c r="B378" t="str">
        <f t="shared" si="95"/>
        <v>HIDE</v>
      </c>
      <c r="C378" t="s">
        <v>49</v>
      </c>
      <c r="D378" t="str">
        <f>"""Mission ERP"",""GBRA"",""15"",""1"",""52130"""</f>
        <v>"Mission ERP","GBRA","15","1","52130"</v>
      </c>
      <c r="E378" t="str">
        <f>"52130"</f>
        <v>52130</v>
      </c>
      <c r="F378" t="str">
        <f>"OLD-DO NOT USE, OPR-CUSTOMER METERS/PUMPS"</f>
        <v>OLD-DO NOT USE, OPR-CUSTOMER METERS/PUMPS</v>
      </c>
      <c r="I378" s="8">
        <v>0</v>
      </c>
      <c r="J378" s="8"/>
      <c r="K378" s="8">
        <v>0</v>
      </c>
      <c r="L378" s="8"/>
      <c r="M378" s="8">
        <f t="shared" si="96"/>
        <v>0</v>
      </c>
      <c r="P378">
        <f t="shared" si="97"/>
        <v>0</v>
      </c>
      <c r="Q378">
        <f t="shared" si="98"/>
        <v>0</v>
      </c>
      <c r="R378">
        <f t="shared" si="99"/>
        <v>0</v>
      </c>
      <c r="S378" s="17"/>
    </row>
    <row r="379" spans="1:19">
      <c r="A379" t="s">
        <v>26</v>
      </c>
      <c r="B379" t="str">
        <f t="shared" si="95"/>
        <v>SHOW</v>
      </c>
      <c r="C379" t="s">
        <v>49</v>
      </c>
      <c r="D379" t="str">
        <f>"""Mission ERP"",""GBRA"",""15"",""1"",""52132"""</f>
        <v>"Mission ERP","GBRA","15","1","52132"</v>
      </c>
      <c r="E379" t="str">
        <f>"52132"</f>
        <v>52132</v>
      </c>
      <c r="F379" t="str">
        <f>"OPR-GAUGING AND MONITORING"</f>
        <v>OPR-GAUGING AND MONITORING</v>
      </c>
      <c r="I379" s="8">
        <v>43960</v>
      </c>
      <c r="J379" s="8"/>
      <c r="K379" s="8">
        <v>45160</v>
      </c>
      <c r="L379" s="8"/>
      <c r="M379" s="8">
        <f t="shared" si="96"/>
        <v>1200</v>
      </c>
      <c r="P379">
        <f t="shared" si="97"/>
        <v>1</v>
      </c>
      <c r="Q379">
        <f t="shared" si="98"/>
        <v>1</v>
      </c>
      <c r="R379">
        <f t="shared" si="99"/>
        <v>2</v>
      </c>
      <c r="S379" s="17"/>
    </row>
    <row r="380" spans="1:19">
      <c r="A380" t="s">
        <v>26</v>
      </c>
      <c r="B380" t="str">
        <f t="shared" si="95"/>
        <v>SHOW</v>
      </c>
      <c r="C380" t="s">
        <v>49</v>
      </c>
      <c r="D380" t="str">
        <f>"""Mission ERP"",""GBRA"",""15"",""1"",""52133"""</f>
        <v>"Mission ERP","GBRA","15","1","52133"</v>
      </c>
      <c r="E380" t="str">
        <f>"52133"</f>
        <v>52133</v>
      </c>
      <c r="F380" t="str">
        <f>"OPR-SCADA"</f>
        <v>OPR-SCADA</v>
      </c>
      <c r="I380" s="8">
        <v>273200</v>
      </c>
      <c r="J380" s="8"/>
      <c r="K380" s="8">
        <v>304750</v>
      </c>
      <c r="L380" s="8"/>
      <c r="M380" s="8">
        <f t="shared" si="96"/>
        <v>31550</v>
      </c>
      <c r="P380">
        <f t="shared" si="97"/>
        <v>1</v>
      </c>
      <c r="Q380">
        <f t="shared" si="98"/>
        <v>1</v>
      </c>
      <c r="R380">
        <f t="shared" si="99"/>
        <v>2</v>
      </c>
      <c r="S380" s="17"/>
    </row>
    <row r="381" spans="1:19" hidden="1">
      <c r="A381" t="s">
        <v>26</v>
      </c>
      <c r="B381" t="str">
        <f t="shared" si="95"/>
        <v>HIDE</v>
      </c>
      <c r="C381" t="s">
        <v>49</v>
      </c>
      <c r="D381" t="str">
        <f>"""Mission ERP"",""GBRA"",""15"",""1"",""52135"""</f>
        <v>"Mission ERP","GBRA","15","1","52135"</v>
      </c>
      <c r="E381" t="str">
        <f>"52135"</f>
        <v>52135</v>
      </c>
      <c r="F381" t="str">
        <f>"OLD-DO NOT USE, OPR-PROCESS/SPECIAL OPERATING"</f>
        <v>OLD-DO NOT USE, OPR-PROCESS/SPECIAL OPERATING</v>
      </c>
      <c r="I381" s="8">
        <v>0</v>
      </c>
      <c r="J381" s="8"/>
      <c r="K381" s="8">
        <v>0</v>
      </c>
      <c r="L381" s="8"/>
      <c r="M381" s="8">
        <f t="shared" si="96"/>
        <v>0</v>
      </c>
      <c r="P381">
        <f t="shared" si="97"/>
        <v>0</v>
      </c>
      <c r="Q381">
        <f t="shared" si="98"/>
        <v>0</v>
      </c>
      <c r="R381">
        <f t="shared" si="99"/>
        <v>0</v>
      </c>
      <c r="S381" s="17"/>
    </row>
    <row r="382" spans="1:19">
      <c r="A382" t="s">
        <v>26</v>
      </c>
      <c r="B382" t="str">
        <f t="shared" si="95"/>
        <v>SHOW</v>
      </c>
      <c r="C382" t="s">
        <v>49</v>
      </c>
      <c r="D382" t="str">
        <f>"""Mission ERP"",""GBRA"",""15"",""1"",""52145"""</f>
        <v>"Mission ERP","GBRA","15","1","52145"</v>
      </c>
      <c r="E382" t="str">
        <f>"52145"</f>
        <v>52145</v>
      </c>
      <c r="F382" t="str">
        <f>"OPR-CONTRACT LABOR"</f>
        <v>OPR-CONTRACT LABOR</v>
      </c>
      <c r="I382" s="8">
        <v>140183</v>
      </c>
      <c r="J382" s="8"/>
      <c r="K382" s="8">
        <v>178044</v>
      </c>
      <c r="L382" s="8"/>
      <c r="M382" s="8">
        <f t="shared" si="96"/>
        <v>37861</v>
      </c>
      <c r="P382">
        <f t="shared" si="97"/>
        <v>1</v>
      </c>
      <c r="Q382">
        <f t="shared" si="98"/>
        <v>1</v>
      </c>
      <c r="R382">
        <f t="shared" si="99"/>
        <v>2</v>
      </c>
      <c r="S382" s="17"/>
    </row>
    <row r="383" spans="1:19">
      <c r="A383" t="s">
        <v>26</v>
      </c>
      <c r="B383" t="str">
        <f t="shared" si="95"/>
        <v>SHOW</v>
      </c>
      <c r="C383" t="s">
        <v>49</v>
      </c>
      <c r="D383" t="str">
        <f>"""Mission ERP"",""GBRA"",""15"",""1"",""52150"""</f>
        <v>"Mission ERP","GBRA","15","1","52150"</v>
      </c>
      <c r="E383" t="str">
        <f>"52150"</f>
        <v>52150</v>
      </c>
      <c r="F383" t="str">
        <f>"OPR-WATER PURCHASES/DELIVERY"</f>
        <v>OPR-WATER PURCHASES/DELIVERY</v>
      </c>
      <c r="I383" s="8">
        <v>1800000</v>
      </c>
      <c r="J383" s="8"/>
      <c r="K383" s="8">
        <v>1520000</v>
      </c>
      <c r="L383" s="8"/>
      <c r="M383" s="8">
        <f t="shared" si="96"/>
        <v>-280000</v>
      </c>
      <c r="P383">
        <f t="shared" si="97"/>
        <v>1</v>
      </c>
      <c r="Q383">
        <f t="shared" si="98"/>
        <v>1</v>
      </c>
      <c r="R383">
        <f t="shared" si="99"/>
        <v>2</v>
      </c>
      <c r="S383" s="17"/>
    </row>
    <row r="384" spans="1:19" hidden="1">
      <c r="A384" t="s">
        <v>26</v>
      </c>
      <c r="B384" t="str">
        <f t="shared" si="95"/>
        <v>HIDE</v>
      </c>
      <c r="C384" t="s">
        <v>49</v>
      </c>
      <c r="D384" t="str">
        <f>"""Mission ERP"",""GBRA"",""15"",""1"",""52151"""</f>
        <v>"Mission ERP","GBRA","15","1","52151"</v>
      </c>
      <c r="E384" t="str">
        <f>"52151"</f>
        <v>52151</v>
      </c>
      <c r="F384" t="str">
        <f>"OPR-LK DUNLAP CANAL CHARGE"</f>
        <v>OPR-LK DUNLAP CANAL CHARGE</v>
      </c>
      <c r="I384" s="8">
        <v>0</v>
      </c>
      <c r="J384" s="8"/>
      <c r="K384" s="8">
        <v>0</v>
      </c>
      <c r="L384" s="8"/>
      <c r="M384" s="8">
        <f t="shared" si="96"/>
        <v>0</v>
      </c>
      <c r="P384">
        <f t="shared" si="97"/>
        <v>0</v>
      </c>
      <c r="Q384">
        <f t="shared" si="98"/>
        <v>0</v>
      </c>
      <c r="R384">
        <f t="shared" si="99"/>
        <v>0</v>
      </c>
      <c r="S384" s="17"/>
    </row>
    <row r="385" spans="1:19">
      <c r="A385" t="s">
        <v>26</v>
      </c>
      <c r="B385" t="str">
        <f t="shared" si="95"/>
        <v>SHOW</v>
      </c>
      <c r="C385" t="s">
        <v>49</v>
      </c>
      <c r="D385" t="str">
        <f>"""Mission ERP"",""GBRA"",""15"",""1"",""52152"""</f>
        <v>"Mission ERP","GBRA","15","1","52152"</v>
      </c>
      <c r="E385" t="str">
        <f>"52152"</f>
        <v>52152</v>
      </c>
      <c r="F385" t="str">
        <f>"OPR-ALLIANCE WATER"</f>
        <v>OPR-ALLIANCE WATER</v>
      </c>
      <c r="I385" s="8">
        <v>4515028</v>
      </c>
      <c r="J385" s="8"/>
      <c r="K385" s="8">
        <v>7059586</v>
      </c>
      <c r="L385" s="8"/>
      <c r="M385" s="8">
        <f t="shared" si="96"/>
        <v>2544558</v>
      </c>
      <c r="P385">
        <f t="shared" si="97"/>
        <v>1</v>
      </c>
      <c r="Q385">
        <f t="shared" si="98"/>
        <v>1</v>
      </c>
      <c r="R385">
        <f t="shared" si="99"/>
        <v>2</v>
      </c>
      <c r="S385" s="17"/>
    </row>
    <row r="386" spans="1:19" hidden="1">
      <c r="A386" t="s">
        <v>26</v>
      </c>
      <c r="B386" t="str">
        <f t="shared" si="95"/>
        <v>HIDE</v>
      </c>
      <c r="C386" t="s">
        <v>49</v>
      </c>
      <c r="D386" t="str">
        <f>"""Mission ERP"",""GBRA"",""15"",""1"",""52155"""</f>
        <v>"Mission ERP","GBRA","15","1","52155"</v>
      </c>
      <c r="E386" t="str">
        <f>"52155"</f>
        <v>52155</v>
      </c>
      <c r="F386" t="str">
        <f>"OPR-TRANSMISSION CHARGES"</f>
        <v>OPR-TRANSMISSION CHARGES</v>
      </c>
      <c r="I386" s="8">
        <v>0</v>
      </c>
      <c r="J386" s="8"/>
      <c r="K386" s="8">
        <v>0</v>
      </c>
      <c r="L386" s="8"/>
      <c r="M386" s="8">
        <f t="shared" si="96"/>
        <v>0</v>
      </c>
      <c r="P386">
        <f t="shared" si="97"/>
        <v>0</v>
      </c>
      <c r="Q386">
        <f t="shared" si="98"/>
        <v>0</v>
      </c>
      <c r="R386">
        <f t="shared" si="99"/>
        <v>0</v>
      </c>
      <c r="S386" s="17"/>
    </row>
    <row r="387" spans="1:19" hidden="1">
      <c r="A387" t="s">
        <v>26</v>
      </c>
      <c r="B387" t="str">
        <f t="shared" si="95"/>
        <v>HIDE</v>
      </c>
      <c r="C387" t="s">
        <v>49</v>
      </c>
      <c r="D387" t="str">
        <f>"""Mission ERP"",""GBRA"",""15"",""1"",""52198"""</f>
        <v>"Mission ERP","GBRA","15","1","52198"</v>
      </c>
      <c r="E387" t="str">
        <f>"52198"</f>
        <v>52198</v>
      </c>
      <c r="F387" t="str">
        <f>"OLD-DO NOT USE, "</f>
        <v xml:space="preserve">OLD-DO NOT USE, </v>
      </c>
      <c r="I387" s="8">
        <v>0</v>
      </c>
      <c r="J387" s="8"/>
      <c r="K387" s="8">
        <v>0</v>
      </c>
      <c r="L387" s="8"/>
      <c r="M387" s="8">
        <f t="shared" si="96"/>
        <v>0</v>
      </c>
      <c r="P387">
        <f t="shared" si="97"/>
        <v>0</v>
      </c>
      <c r="Q387">
        <f t="shared" si="98"/>
        <v>0</v>
      </c>
      <c r="R387">
        <f t="shared" si="99"/>
        <v>0</v>
      </c>
      <c r="S387" s="17"/>
    </row>
    <row r="388" spans="1:19" hidden="1">
      <c r="B388" t="s">
        <v>16</v>
      </c>
      <c r="I388" s="9"/>
      <c r="J388" s="8"/>
      <c r="K388" s="9"/>
      <c r="L388" s="8"/>
      <c r="M388" s="9"/>
      <c r="S388" s="17"/>
    </row>
    <row r="389" spans="1:19">
      <c r="B389" t="str">
        <f>IF(R389=0,"HIDE","SHOW")</f>
        <v>SHOW</v>
      </c>
      <c r="F389" s="3" t="str">
        <f>CONCATENATE("Total ",F359)</f>
        <v>Total Operating Supplies &amp; Services</v>
      </c>
      <c r="I389" s="10">
        <f>SUM(I360:I388)</f>
        <v>22901734</v>
      </c>
      <c r="J389" s="11"/>
      <c r="K389" s="10">
        <f>SUM(K360:K388)</f>
        <v>28981024</v>
      </c>
      <c r="L389" s="11"/>
      <c r="M389" s="10">
        <f>K389-I389</f>
        <v>6079290</v>
      </c>
      <c r="P389">
        <f>IF(I389=0,0,1)</f>
        <v>1</v>
      </c>
      <c r="Q389">
        <f>IF(K389=0,0,1)</f>
        <v>1</v>
      </c>
      <c r="R389">
        <f>P389+Q389</f>
        <v>2</v>
      </c>
      <c r="S389" s="17"/>
    </row>
    <row r="390" spans="1:19">
      <c r="B390" t="str">
        <f>B389</f>
        <v>SHOW</v>
      </c>
      <c r="I390" s="8"/>
      <c r="J390" s="8"/>
      <c r="K390" s="8"/>
      <c r="L390" s="8"/>
      <c r="M390" s="8"/>
    </row>
    <row r="391" spans="1:19">
      <c r="B391" t="str">
        <f>B414</f>
        <v>SHOW</v>
      </c>
      <c r="C391">
        <v>52200</v>
      </c>
      <c r="F391" s="3" t="str">
        <f>"Professional Services and Fees"</f>
        <v>Professional Services and Fees</v>
      </c>
      <c r="I391" s="8"/>
      <c r="J391" s="8"/>
      <c r="K391" s="8"/>
      <c r="L391" s="8"/>
      <c r="M391" s="8"/>
    </row>
    <row r="392" spans="1:19">
      <c r="B392" t="str">
        <f>IF(R392=0,"HIDE","SHOW")</f>
        <v>SHOW</v>
      </c>
      <c r="C392" t="s">
        <v>50</v>
      </c>
      <c r="D392" t="str">
        <f>"""Mission ERP"",""GBRA"",""15"",""1"",""52201"""</f>
        <v>"Mission ERP","GBRA","15","1","52201"</v>
      </c>
      <c r="E392" t="str">
        <f>"52201"</f>
        <v>52201</v>
      </c>
      <c r="F392" t="str">
        <f>"OPR-PROFESSIONAL SERVICES-ENGINEERING"</f>
        <v>OPR-PROFESSIONAL SERVICES-ENGINEERING</v>
      </c>
      <c r="I392" s="8">
        <v>721800</v>
      </c>
      <c r="J392" s="8"/>
      <c r="K392" s="8">
        <v>797500</v>
      </c>
      <c r="L392" s="8"/>
      <c r="M392" s="8">
        <f>K392-I392</f>
        <v>75700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9">
      <c r="A393" t="s">
        <v>26</v>
      </c>
      <c r="B393" t="str">
        <f t="shared" ref="B393:B412" si="100">IF(R393=0,"HIDE","SHOW")</f>
        <v>SHOW</v>
      </c>
      <c r="C393" t="s">
        <v>50</v>
      </c>
      <c r="D393" t="str">
        <f>"""Mission ERP"",""GBRA"",""15"",""1"",""52202"""</f>
        <v>"Mission ERP","GBRA","15","1","52202"</v>
      </c>
      <c r="E393" t="str">
        <f>"52202"</f>
        <v>52202</v>
      </c>
      <c r="F393" t="str">
        <f>"OPR-PROFESSIONAL SERVICES-LEGAL"</f>
        <v>OPR-PROFESSIONAL SERVICES-LEGAL</v>
      </c>
      <c r="I393" s="8">
        <v>1025000</v>
      </c>
      <c r="J393" s="8"/>
      <c r="K393" s="8">
        <v>1025000</v>
      </c>
      <c r="L393" s="8"/>
      <c r="M393" s="8">
        <f t="shared" ref="M393:M412" si="101">K393-I393</f>
        <v>0</v>
      </c>
      <c r="P393">
        <f t="shared" ref="P393:P412" si="102">IF(I393=0,0,1)</f>
        <v>1</v>
      </c>
      <c r="Q393">
        <f t="shared" ref="Q393:Q412" si="103">IF(K393=0,0,1)</f>
        <v>1</v>
      </c>
      <c r="R393">
        <f t="shared" ref="R393:R412" si="104">P393+Q393</f>
        <v>2</v>
      </c>
    </row>
    <row r="394" spans="1:19">
      <c r="A394" t="s">
        <v>26</v>
      </c>
      <c r="B394" t="str">
        <f t="shared" si="100"/>
        <v>SHOW</v>
      </c>
      <c r="C394" t="s">
        <v>50</v>
      </c>
      <c r="D394" t="str">
        <f>"""Mission ERP"",""GBRA"",""15"",""1"",""52204"""</f>
        <v>"Mission ERP","GBRA","15","1","52204"</v>
      </c>
      <c r="E394" t="str">
        <f>"52204"</f>
        <v>52204</v>
      </c>
      <c r="F394" t="str">
        <f>"OPR-PROFESSIONAL SERVICES-EMPLOYEE RELATED"</f>
        <v>OPR-PROFESSIONAL SERVICES-EMPLOYEE RELATED</v>
      </c>
      <c r="I394" s="8">
        <v>158275</v>
      </c>
      <c r="J394" s="8"/>
      <c r="K394" s="8">
        <v>156095</v>
      </c>
      <c r="L394" s="8"/>
      <c r="M394" s="8">
        <f t="shared" si="101"/>
        <v>-2180</v>
      </c>
      <c r="P394">
        <f t="shared" si="102"/>
        <v>1</v>
      </c>
      <c r="Q394">
        <f t="shared" si="103"/>
        <v>1</v>
      </c>
      <c r="R394">
        <f t="shared" si="104"/>
        <v>2</v>
      </c>
    </row>
    <row r="395" spans="1:19">
      <c r="A395" t="s">
        <v>26</v>
      </c>
      <c r="B395" t="str">
        <f t="shared" si="100"/>
        <v>SHOW</v>
      </c>
      <c r="C395" t="s">
        <v>50</v>
      </c>
      <c r="D395" t="str">
        <f>"""Mission ERP"",""GBRA"",""15"",""1"",""52205"""</f>
        <v>"Mission ERP","GBRA","15","1","52205"</v>
      </c>
      <c r="E395" t="str">
        <f>"52205"</f>
        <v>52205</v>
      </c>
      <c r="F395" t="str">
        <f>"OPR-PROFESSIONAL SERVICES-OTHER"</f>
        <v>OPR-PROFESSIONAL SERVICES-OTHER</v>
      </c>
      <c r="I395" s="8">
        <v>2871031</v>
      </c>
      <c r="J395" s="8"/>
      <c r="K395" s="8">
        <v>2656875</v>
      </c>
      <c r="L395" s="8"/>
      <c r="M395" s="8">
        <f t="shared" si="101"/>
        <v>-214156</v>
      </c>
      <c r="P395">
        <f t="shared" si="102"/>
        <v>1</v>
      </c>
      <c r="Q395">
        <f t="shared" si="103"/>
        <v>1</v>
      </c>
      <c r="R395">
        <f t="shared" si="104"/>
        <v>2</v>
      </c>
    </row>
    <row r="396" spans="1:19">
      <c r="A396" t="s">
        <v>26</v>
      </c>
      <c r="B396" t="str">
        <f t="shared" si="100"/>
        <v>SHOW</v>
      </c>
      <c r="C396" t="s">
        <v>50</v>
      </c>
      <c r="D396" t="str">
        <f>"""Mission ERP"",""GBRA"",""15"",""1"",""52208"""</f>
        <v>"Mission ERP","GBRA","15","1","52208"</v>
      </c>
      <c r="E396" t="str">
        <f>"52208"</f>
        <v>52208</v>
      </c>
      <c r="F396" t="str">
        <f>"OPR-LK DUNAP WCID CONTRACT"</f>
        <v>OPR-LK DUNAP WCID CONTRACT</v>
      </c>
      <c r="I396" s="8">
        <v>699241</v>
      </c>
      <c r="J396" s="8"/>
      <c r="K396" s="8">
        <v>603258</v>
      </c>
      <c r="L396" s="8"/>
      <c r="M396" s="8">
        <f t="shared" si="101"/>
        <v>-95983</v>
      </c>
      <c r="P396">
        <f t="shared" si="102"/>
        <v>1</v>
      </c>
      <c r="Q396">
        <f t="shared" si="103"/>
        <v>1</v>
      </c>
      <c r="R396">
        <f t="shared" si="104"/>
        <v>2</v>
      </c>
    </row>
    <row r="397" spans="1:19">
      <c r="A397" t="s">
        <v>26</v>
      </c>
      <c r="B397" t="str">
        <f t="shared" si="100"/>
        <v>SHOW</v>
      </c>
      <c r="C397" t="s">
        <v>50</v>
      </c>
      <c r="D397" t="str">
        <f>"""Mission ERP"",""GBRA"",""15"",""1"",""52209"""</f>
        <v>"Mission ERP","GBRA","15","1","52209"</v>
      </c>
      <c r="E397" t="str">
        <f>"52209"</f>
        <v>52209</v>
      </c>
      <c r="F397" t="str">
        <f>"OPR-DOW PUMP STATION"</f>
        <v>OPR-DOW PUMP STATION</v>
      </c>
      <c r="I397" s="8">
        <v>500000</v>
      </c>
      <c r="J397" s="8"/>
      <c r="K397" s="8">
        <v>1122948</v>
      </c>
      <c r="L397" s="8"/>
      <c r="M397" s="8">
        <f t="shared" si="101"/>
        <v>622948</v>
      </c>
      <c r="P397">
        <f t="shared" si="102"/>
        <v>1</v>
      </c>
      <c r="Q397">
        <f t="shared" si="103"/>
        <v>1</v>
      </c>
      <c r="R397">
        <f t="shared" si="104"/>
        <v>2</v>
      </c>
    </row>
    <row r="398" spans="1:19">
      <c r="A398" t="s">
        <v>26</v>
      </c>
      <c r="B398" t="str">
        <f t="shared" si="100"/>
        <v>SHOW</v>
      </c>
      <c r="C398" t="s">
        <v>50</v>
      </c>
      <c r="D398" t="str">
        <f>"""Mission ERP"",""GBRA"",""15"",""1"",""52210"""</f>
        <v>"Mission ERP","GBRA","15","1","52210"</v>
      </c>
      <c r="E398" t="str">
        <f>"52210"</f>
        <v>52210</v>
      </c>
      <c r="F398" t="str">
        <f>"OPR-CORPS OF ENGINEERS"</f>
        <v>OPR-CORPS OF ENGINEERS</v>
      </c>
      <c r="I398" s="8">
        <v>850000</v>
      </c>
      <c r="J398" s="8"/>
      <c r="K398" s="8">
        <v>850000</v>
      </c>
      <c r="L398" s="8"/>
      <c r="M398" s="8">
        <f t="shared" si="101"/>
        <v>0</v>
      </c>
      <c r="P398">
        <f t="shared" si="102"/>
        <v>1</v>
      </c>
      <c r="Q398">
        <f t="shared" si="103"/>
        <v>1</v>
      </c>
      <c r="R398">
        <f t="shared" si="104"/>
        <v>2</v>
      </c>
    </row>
    <row r="399" spans="1:19">
      <c r="A399" t="s">
        <v>26</v>
      </c>
      <c r="B399" t="str">
        <f t="shared" si="100"/>
        <v>SHOW</v>
      </c>
      <c r="C399" t="s">
        <v>50</v>
      </c>
      <c r="D399" t="str">
        <f>"""Mission ERP"",""GBRA"",""15"",""1"",""52211"""</f>
        <v>"Mission ERP","GBRA","15","1","52211"</v>
      </c>
      <c r="E399" t="str">
        <f>"52211"</f>
        <v>52211</v>
      </c>
      <c r="F399" t="str">
        <f>"OPR-USGS MONITORING"</f>
        <v>OPR-USGS MONITORING</v>
      </c>
      <c r="I399" s="8">
        <v>237600</v>
      </c>
      <c r="J399" s="8"/>
      <c r="K399" s="8">
        <v>212900</v>
      </c>
      <c r="L399" s="8"/>
      <c r="M399" s="8">
        <f t="shared" si="101"/>
        <v>-24700</v>
      </c>
      <c r="P399">
        <f t="shared" si="102"/>
        <v>1</v>
      </c>
      <c r="Q399">
        <f t="shared" si="103"/>
        <v>1</v>
      </c>
      <c r="R399">
        <f t="shared" si="104"/>
        <v>2</v>
      </c>
    </row>
    <row r="400" spans="1:19">
      <c r="A400" t="s">
        <v>26</v>
      </c>
      <c r="B400" t="str">
        <f t="shared" si="100"/>
        <v>SHOW</v>
      </c>
      <c r="C400" t="s">
        <v>50</v>
      </c>
      <c r="D400" t="str">
        <f>"""Mission ERP"",""GBRA"",""15"",""1"",""52212"""</f>
        <v>"Mission ERP","GBRA","15","1","52212"</v>
      </c>
      <c r="E400" t="str">
        <f>"52212"</f>
        <v>52212</v>
      </c>
      <c r="F400" t="str">
        <f>"OPR-CARRIZO LEASE PAYMENTS"</f>
        <v>OPR-CARRIZO LEASE PAYMENTS</v>
      </c>
      <c r="I400" s="8">
        <v>1098100</v>
      </c>
      <c r="J400" s="8"/>
      <c r="K400" s="8">
        <v>1131660</v>
      </c>
      <c r="L400" s="8"/>
      <c r="M400" s="8">
        <f t="shared" si="101"/>
        <v>33560</v>
      </c>
      <c r="P400">
        <f t="shared" si="102"/>
        <v>1</v>
      </c>
      <c r="Q400">
        <f t="shared" si="103"/>
        <v>1</v>
      </c>
      <c r="R400">
        <f t="shared" si="104"/>
        <v>2</v>
      </c>
    </row>
    <row r="401" spans="1:18">
      <c r="A401" t="s">
        <v>26</v>
      </c>
      <c r="B401" t="str">
        <f t="shared" si="100"/>
        <v>SHOW</v>
      </c>
      <c r="C401" t="s">
        <v>50</v>
      </c>
      <c r="D401" t="str">
        <f>"""Mission ERP"",""GBRA"",""15"",""1"",""52213"""</f>
        <v>"Mission ERP","GBRA","15","1","52213"</v>
      </c>
      <c r="E401" t="str">
        <f>"52213"</f>
        <v>52213</v>
      </c>
      <c r="F401" t="str">
        <f>"OPR-GROUNDWATER DISTRICT FEES"</f>
        <v>OPR-GROUNDWATER DISTRICT FEES</v>
      </c>
      <c r="I401" s="8">
        <v>170173</v>
      </c>
      <c r="J401" s="8"/>
      <c r="K401" s="8">
        <v>218460</v>
      </c>
      <c r="L401" s="8"/>
      <c r="M401" s="8">
        <f t="shared" si="101"/>
        <v>48287</v>
      </c>
      <c r="P401">
        <f t="shared" si="102"/>
        <v>1</v>
      </c>
      <c r="Q401">
        <f t="shared" si="103"/>
        <v>1</v>
      </c>
      <c r="R401">
        <f t="shared" si="104"/>
        <v>2</v>
      </c>
    </row>
    <row r="402" spans="1:18">
      <c r="A402" t="s">
        <v>26</v>
      </c>
      <c r="B402" t="str">
        <f t="shared" si="100"/>
        <v>SHOW</v>
      </c>
      <c r="C402" t="s">
        <v>50</v>
      </c>
      <c r="D402" t="str">
        <f>"""Mission ERP"",""GBRA"",""15"",""1"",""52214"""</f>
        <v>"Mission ERP","GBRA","15","1","52214"</v>
      </c>
      <c r="E402" t="str">
        <f>"52214"</f>
        <v>52214</v>
      </c>
      <c r="F402" t="str">
        <f>"OPR-EAA HABITAT CONSERVATION"</f>
        <v>OPR-EAA HABITAT CONSERVATION</v>
      </c>
      <c r="I402" s="8">
        <v>150000</v>
      </c>
      <c r="J402" s="8"/>
      <c r="K402" s="8">
        <v>150000</v>
      </c>
      <c r="L402" s="8"/>
      <c r="M402" s="8">
        <f t="shared" si="101"/>
        <v>0</v>
      </c>
      <c r="P402">
        <f t="shared" si="102"/>
        <v>1</v>
      </c>
      <c r="Q402">
        <f t="shared" si="103"/>
        <v>1</v>
      </c>
      <c r="R402">
        <f t="shared" si="104"/>
        <v>2</v>
      </c>
    </row>
    <row r="403" spans="1:18">
      <c r="A403" t="s">
        <v>26</v>
      </c>
      <c r="B403" t="str">
        <f t="shared" si="100"/>
        <v>SHOW</v>
      </c>
      <c r="C403" t="s">
        <v>50</v>
      </c>
      <c r="D403" t="str">
        <f>"""Mission ERP"",""GBRA"",""15"",""1"",""52215"""</f>
        <v>"Mission ERP","GBRA","15","1","52215"</v>
      </c>
      <c r="E403" t="str">
        <f>"52215"</f>
        <v>52215</v>
      </c>
      <c r="F403" t="str">
        <f>"OPR-GUADALUPE BLANCO RIVER TRUST"</f>
        <v>OPR-GUADALUPE BLANCO RIVER TRUST</v>
      </c>
      <c r="I403" s="8">
        <v>205410</v>
      </c>
      <c r="J403" s="8"/>
      <c r="K403" s="8">
        <v>0</v>
      </c>
      <c r="L403" s="8"/>
      <c r="M403" s="8">
        <f t="shared" si="101"/>
        <v>-205410</v>
      </c>
      <c r="P403">
        <f t="shared" si="102"/>
        <v>1</v>
      </c>
      <c r="Q403">
        <f t="shared" si="103"/>
        <v>0</v>
      </c>
      <c r="R403">
        <f t="shared" si="104"/>
        <v>1</v>
      </c>
    </row>
    <row r="404" spans="1:18">
      <c r="A404" t="s">
        <v>26</v>
      </c>
      <c r="B404" t="str">
        <f t="shared" si="100"/>
        <v>SHOW</v>
      </c>
      <c r="C404" t="s">
        <v>50</v>
      </c>
      <c r="D404" t="str">
        <f>"""Mission ERP"",""GBRA"",""15"",""1"",""52216"""</f>
        <v>"Mission ERP","GBRA","15","1","52216"</v>
      </c>
      <c r="E404" t="str">
        <f>"52216"</f>
        <v>52216</v>
      </c>
      <c r="F404" t="str">
        <f>"OPR-REGULATORY FEES"</f>
        <v>OPR-REGULATORY FEES</v>
      </c>
      <c r="I404" s="8">
        <v>416070</v>
      </c>
      <c r="J404" s="8"/>
      <c r="K404" s="8">
        <v>445430</v>
      </c>
      <c r="L404" s="8"/>
      <c r="M404" s="8">
        <f t="shared" si="101"/>
        <v>29360</v>
      </c>
      <c r="P404">
        <f t="shared" si="102"/>
        <v>1</v>
      </c>
      <c r="Q404">
        <f t="shared" si="103"/>
        <v>1</v>
      </c>
      <c r="R404">
        <f t="shared" si="104"/>
        <v>2</v>
      </c>
    </row>
    <row r="405" spans="1:18">
      <c r="A405" t="s">
        <v>26</v>
      </c>
      <c r="B405" t="str">
        <f t="shared" si="100"/>
        <v>SHOW</v>
      </c>
      <c r="C405" t="s">
        <v>50</v>
      </c>
      <c r="D405" t="str">
        <f>"""Mission ERP"",""GBRA"",""15"",""1"",""52217"""</f>
        <v>"Mission ERP","GBRA","15","1","52217"</v>
      </c>
      <c r="E405" t="str">
        <f>"52217"</f>
        <v>52217</v>
      </c>
      <c r="F405" t="str">
        <f>"OPR-INSPECTION FEES"</f>
        <v>OPR-INSPECTION FEES</v>
      </c>
      <c r="I405" s="8">
        <v>25000</v>
      </c>
      <c r="J405" s="8"/>
      <c r="K405" s="8">
        <v>75000</v>
      </c>
      <c r="L405" s="8"/>
      <c r="M405" s="8">
        <f t="shared" si="101"/>
        <v>50000</v>
      </c>
      <c r="P405">
        <f t="shared" si="102"/>
        <v>1</v>
      </c>
      <c r="Q405">
        <f t="shared" si="103"/>
        <v>1</v>
      </c>
      <c r="R405">
        <f t="shared" si="104"/>
        <v>2</v>
      </c>
    </row>
    <row r="406" spans="1:18">
      <c r="A406" t="s">
        <v>26</v>
      </c>
      <c r="B406" t="str">
        <f t="shared" si="100"/>
        <v>SHOW</v>
      </c>
      <c r="C406" t="s">
        <v>50</v>
      </c>
      <c r="D406" t="str">
        <f>"""Mission ERP"",""GBRA"",""15"",""1"",""52218"""</f>
        <v>"Mission ERP","GBRA","15","1","52218"</v>
      </c>
      <c r="E406" t="str">
        <f>"52218"</f>
        <v>52218</v>
      </c>
      <c r="F406" t="str">
        <f>"OPR-NBU WW TREATMENT SERVICES"</f>
        <v>OPR-NBU WW TREATMENT SERVICES</v>
      </c>
      <c r="I406" s="8">
        <v>24000</v>
      </c>
      <c r="J406" s="8"/>
      <c r="K406" s="8">
        <v>50000</v>
      </c>
      <c r="L406" s="8"/>
      <c r="M406" s="8">
        <f t="shared" si="101"/>
        <v>26000</v>
      </c>
      <c r="P406">
        <f t="shared" si="102"/>
        <v>1</v>
      </c>
      <c r="Q406">
        <f t="shared" si="103"/>
        <v>1</v>
      </c>
      <c r="R406">
        <f t="shared" si="104"/>
        <v>2</v>
      </c>
    </row>
    <row r="407" spans="1:18">
      <c r="A407" t="s">
        <v>26</v>
      </c>
      <c r="B407" t="str">
        <f t="shared" si="100"/>
        <v>SHOW</v>
      </c>
      <c r="C407" t="s">
        <v>50</v>
      </c>
      <c r="D407" t="str">
        <f>"""Mission ERP"",""GBRA"",""15"",""1"",""52219"""</f>
        <v>"Mission ERP","GBRA","15","1","52219"</v>
      </c>
      <c r="E407" t="str">
        <f>"52219"</f>
        <v>52219</v>
      </c>
      <c r="F407" t="str">
        <f>"OPR-CUSTOMER BILLING FEES"</f>
        <v>OPR-CUSTOMER BILLING FEES</v>
      </c>
      <c r="I407" s="8">
        <v>237443</v>
      </c>
      <c r="J407" s="8"/>
      <c r="K407" s="8">
        <v>265252</v>
      </c>
      <c r="L407" s="8"/>
      <c r="M407" s="8">
        <f t="shared" si="101"/>
        <v>27809</v>
      </c>
      <c r="P407">
        <f t="shared" si="102"/>
        <v>1</v>
      </c>
      <c r="Q407">
        <f t="shared" si="103"/>
        <v>1</v>
      </c>
      <c r="R407">
        <f t="shared" si="104"/>
        <v>2</v>
      </c>
    </row>
    <row r="408" spans="1:18">
      <c r="A408" t="s">
        <v>26</v>
      </c>
      <c r="B408" t="str">
        <f t="shared" si="100"/>
        <v>SHOW</v>
      </c>
      <c r="C408" t="s">
        <v>50</v>
      </c>
      <c r="D408" t="str">
        <f>"""Mission ERP"",""GBRA"",""15"",""1"",""52220"""</f>
        <v>"Mission ERP","GBRA","15","1","52220"</v>
      </c>
      <c r="E408" t="str">
        <f>"52220"</f>
        <v>52220</v>
      </c>
      <c r="F408" t="str">
        <f>"OPR-BANK FEES"</f>
        <v>OPR-BANK FEES</v>
      </c>
      <c r="I408" s="8">
        <v>65540</v>
      </c>
      <c r="J408" s="8"/>
      <c r="K408" s="8">
        <v>88890</v>
      </c>
      <c r="L408" s="8"/>
      <c r="M408" s="8">
        <f t="shared" si="101"/>
        <v>23350</v>
      </c>
      <c r="P408">
        <f t="shared" si="102"/>
        <v>1</v>
      </c>
      <c r="Q408">
        <f t="shared" si="103"/>
        <v>1</v>
      </c>
      <c r="R408">
        <f t="shared" si="104"/>
        <v>2</v>
      </c>
    </row>
    <row r="409" spans="1:18" hidden="1">
      <c r="A409" t="s">
        <v>26</v>
      </c>
      <c r="B409" t="str">
        <f t="shared" si="100"/>
        <v>HIDE</v>
      </c>
      <c r="C409" t="s">
        <v>50</v>
      </c>
      <c r="D409" t="str">
        <f>"""Mission ERP"",""GBRA"",""15"",""1"",""52221"""</f>
        <v>"Mission ERP","GBRA","15","1","52221"</v>
      </c>
      <c r="E409" t="str">
        <f>"52221"</f>
        <v>52221</v>
      </c>
      <c r="F409" t="str">
        <f>"OPR-BAD DEBT EXPENSE"</f>
        <v>OPR-BAD DEBT EXPENSE</v>
      </c>
      <c r="I409" s="8">
        <v>0</v>
      </c>
      <c r="J409" s="8"/>
      <c r="K409" s="8">
        <v>0</v>
      </c>
      <c r="L409" s="8"/>
      <c r="M409" s="8">
        <f t="shared" si="101"/>
        <v>0</v>
      </c>
      <c r="P409">
        <f t="shared" si="102"/>
        <v>0</v>
      </c>
      <c r="Q409">
        <f t="shared" si="103"/>
        <v>0</v>
      </c>
      <c r="R409">
        <f t="shared" si="104"/>
        <v>0</v>
      </c>
    </row>
    <row r="410" spans="1:18">
      <c r="A410" t="s">
        <v>26</v>
      </c>
      <c r="B410" t="str">
        <f t="shared" si="100"/>
        <v>SHOW</v>
      </c>
      <c r="C410" t="s">
        <v>50</v>
      </c>
      <c r="D410" t="str">
        <f>"""Mission ERP"",""GBRA"",""15"",""1"",""52222"""</f>
        <v>"Mission ERP","GBRA","15","1","52222"</v>
      </c>
      <c r="E410" t="str">
        <f>"52222"</f>
        <v>52222</v>
      </c>
      <c r="F410" t="str">
        <f>"OPR-MEMBERSHIPS &amp; PUBLICATIONS"</f>
        <v>OPR-MEMBERSHIPS &amp; PUBLICATIONS</v>
      </c>
      <c r="I410" s="8">
        <v>109090</v>
      </c>
      <c r="J410" s="8"/>
      <c r="K410" s="8">
        <v>120980</v>
      </c>
      <c r="L410" s="8"/>
      <c r="M410" s="8">
        <f t="shared" si="101"/>
        <v>11890</v>
      </c>
      <c r="P410">
        <f t="shared" si="102"/>
        <v>1</v>
      </c>
      <c r="Q410">
        <f t="shared" si="103"/>
        <v>1</v>
      </c>
      <c r="R410">
        <f t="shared" si="104"/>
        <v>2</v>
      </c>
    </row>
    <row r="411" spans="1:18">
      <c r="A411" t="s">
        <v>26</v>
      </c>
      <c r="B411" t="str">
        <f t="shared" si="100"/>
        <v>SHOW</v>
      </c>
      <c r="C411" t="s">
        <v>50</v>
      </c>
      <c r="D411" t="str">
        <f>"""Mission ERP"",""GBRA"",""15"",""1"",""52223"""</f>
        <v>"Mission ERP","GBRA","15","1","52223"</v>
      </c>
      <c r="E411" t="str">
        <f>"52223"</f>
        <v>52223</v>
      </c>
      <c r="F411" t="str">
        <f>"OPR-LICENSE &amp; TRAINING"</f>
        <v>OPR-LICENSE &amp; TRAINING</v>
      </c>
      <c r="I411" s="8">
        <v>371188</v>
      </c>
      <c r="J411" s="8"/>
      <c r="K411" s="8">
        <v>426060</v>
      </c>
      <c r="L411" s="8"/>
      <c r="M411" s="8">
        <f t="shared" si="101"/>
        <v>54872</v>
      </c>
      <c r="P411">
        <f t="shared" si="102"/>
        <v>1</v>
      </c>
      <c r="Q411">
        <f t="shared" si="103"/>
        <v>1</v>
      </c>
      <c r="R411">
        <f t="shared" si="104"/>
        <v>2</v>
      </c>
    </row>
    <row r="412" spans="1:18">
      <c r="A412" t="s">
        <v>26</v>
      </c>
      <c r="B412" t="str">
        <f t="shared" si="100"/>
        <v>SHOW</v>
      </c>
      <c r="C412" t="s">
        <v>50</v>
      </c>
      <c r="D412" t="str">
        <f>"""Mission ERP"",""GBRA"",""15"",""1"",""52224"""</f>
        <v>"Mission ERP","GBRA","15","1","52224"</v>
      </c>
      <c r="E412" t="str">
        <f>"52224"</f>
        <v>52224</v>
      </c>
      <c r="F412" t="str">
        <f>"OPR-TRAVEL &amp; MEETINGS"</f>
        <v>OPR-TRAVEL &amp; MEETINGS</v>
      </c>
      <c r="I412" s="8">
        <v>345780</v>
      </c>
      <c r="J412" s="8"/>
      <c r="K412" s="8">
        <v>410393</v>
      </c>
      <c r="L412" s="8"/>
      <c r="M412" s="8">
        <f t="shared" si="101"/>
        <v>64613</v>
      </c>
      <c r="P412">
        <f t="shared" si="102"/>
        <v>1</v>
      </c>
      <c r="Q412">
        <f t="shared" si="103"/>
        <v>1</v>
      </c>
      <c r="R412">
        <f t="shared" si="104"/>
        <v>2</v>
      </c>
    </row>
    <row r="413" spans="1:18" hidden="1">
      <c r="B413" t="s">
        <v>16</v>
      </c>
      <c r="I413" s="9"/>
      <c r="J413" s="8"/>
      <c r="K413" s="9"/>
      <c r="L413" s="8"/>
      <c r="M413" s="9"/>
    </row>
    <row r="414" spans="1:18">
      <c r="B414" t="str">
        <f>IF(R414=0,"HIDE","SHOW")</f>
        <v>SHOW</v>
      </c>
      <c r="F414" s="3" t="str">
        <f>CONCATENATE("Total ",F391)</f>
        <v>Total Professional Services and Fees</v>
      </c>
      <c r="I414" s="10">
        <f>SUM(I392:I413)</f>
        <v>10280741</v>
      </c>
      <c r="J414" s="11"/>
      <c r="K414" s="10">
        <f>SUM(K392:K413)</f>
        <v>10806701</v>
      </c>
      <c r="L414" s="11"/>
      <c r="M414" s="10">
        <f>K414-I414</f>
        <v>525960</v>
      </c>
      <c r="P414">
        <f>IF(I414=0,0,1)</f>
        <v>1</v>
      </c>
      <c r="Q414">
        <f>IF(K414=0,0,1)</f>
        <v>1</v>
      </c>
      <c r="R414">
        <f>P414+Q414</f>
        <v>2</v>
      </c>
    </row>
    <row r="415" spans="1:18">
      <c r="B415" t="str">
        <f>B414</f>
        <v>SHOW</v>
      </c>
      <c r="I415" s="8"/>
      <c r="J415" s="8"/>
      <c r="K415" s="8"/>
      <c r="L415" s="8"/>
      <c r="M415" s="8"/>
    </row>
    <row r="416" spans="1:18">
      <c r="B416" t="str">
        <f>B430</f>
        <v>SHOW</v>
      </c>
      <c r="C416">
        <v>52300</v>
      </c>
      <c r="F416" s="3" t="str">
        <f>"Office Expenses"</f>
        <v>Office Expenses</v>
      </c>
      <c r="I416" s="8"/>
      <c r="J416" s="8"/>
      <c r="K416" s="8"/>
      <c r="L416" s="8"/>
      <c r="M416" s="8"/>
    </row>
    <row r="417" spans="1:18">
      <c r="B417" t="str">
        <f>IF(R417=0,"HIDE","SHOW")</f>
        <v>SHOW</v>
      </c>
      <c r="C417" t="s">
        <v>51</v>
      </c>
      <c r="D417" t="str">
        <f>"""Mission ERP"",""GBRA"",""15"",""1"",""52301"""</f>
        <v>"Mission ERP","GBRA","15","1","52301"</v>
      </c>
      <c r="E417" t="str">
        <f>"52301"</f>
        <v>52301</v>
      </c>
      <c r="F417" t="str">
        <f>"OPR-OFFICE SUPPLIES"</f>
        <v>OPR-OFFICE SUPPLIES</v>
      </c>
      <c r="I417" s="8">
        <v>140900</v>
      </c>
      <c r="J417" s="8"/>
      <c r="K417" s="8">
        <v>137200</v>
      </c>
      <c r="L417" s="8"/>
      <c r="M417" s="8">
        <f>K417-I417</f>
        <v>-3700</v>
      </c>
      <c r="P417">
        <f>IF(I417=0,0,1)</f>
        <v>1</v>
      </c>
      <c r="Q417">
        <f>IF(K417=0,0,1)</f>
        <v>1</v>
      </c>
      <c r="R417">
        <f>P417+Q417</f>
        <v>2</v>
      </c>
    </row>
    <row r="418" spans="1:18">
      <c r="A418" t="s">
        <v>26</v>
      </c>
      <c r="B418" t="str">
        <f t="shared" ref="B418:B428" si="105">IF(R418=0,"HIDE","SHOW")</f>
        <v>SHOW</v>
      </c>
      <c r="C418" t="s">
        <v>51</v>
      </c>
      <c r="D418" t="str">
        <f>"""Mission ERP"",""GBRA"",""15"",""1"",""52302"""</f>
        <v>"Mission ERP","GBRA","15","1","52302"</v>
      </c>
      <c r="E418" t="str">
        <f>"52302"</f>
        <v>52302</v>
      </c>
      <c r="F418" t="str">
        <f>"OPR-COMPUTER &amp; SOFTWARE EXPENSE"</f>
        <v>OPR-COMPUTER &amp; SOFTWARE EXPENSE</v>
      </c>
      <c r="I418" s="8">
        <v>896150</v>
      </c>
      <c r="J418" s="8"/>
      <c r="K418" s="8">
        <v>999670</v>
      </c>
      <c r="L418" s="8"/>
      <c r="M418" s="8">
        <f t="shared" ref="M418:M428" si="106">K418-I418</f>
        <v>103520</v>
      </c>
      <c r="P418">
        <f t="shared" ref="P418:P428" si="107">IF(I418=0,0,1)</f>
        <v>1</v>
      </c>
      <c r="Q418">
        <f t="shared" ref="Q418:Q428" si="108">IF(K418=0,0,1)</f>
        <v>1</v>
      </c>
      <c r="R418">
        <f t="shared" ref="R418:R428" si="109">P418+Q418</f>
        <v>2</v>
      </c>
    </row>
    <row r="419" spans="1:18">
      <c r="A419" t="s">
        <v>26</v>
      </c>
      <c r="B419" t="str">
        <f t="shared" si="105"/>
        <v>SHOW</v>
      </c>
      <c r="C419" t="s">
        <v>51</v>
      </c>
      <c r="D419" t="str">
        <f>"""Mission ERP"",""GBRA"",""15"",""1"",""52303"""</f>
        <v>"Mission ERP","GBRA","15","1","52303"</v>
      </c>
      <c r="E419" t="str">
        <f>"52303"</f>
        <v>52303</v>
      </c>
      <c r="F419" t="str">
        <f>"OPR-WIDE AREA NETWORK EXPENSE"</f>
        <v>OPR-WIDE AREA NETWORK EXPENSE</v>
      </c>
      <c r="I419" s="8">
        <v>76800</v>
      </c>
      <c r="J419" s="8"/>
      <c r="K419" s="8">
        <v>181200</v>
      </c>
      <c r="L419" s="8"/>
      <c r="M419" s="8">
        <f t="shared" si="106"/>
        <v>104400</v>
      </c>
      <c r="P419">
        <f t="shared" si="107"/>
        <v>1</v>
      </c>
      <c r="Q419">
        <f t="shared" si="108"/>
        <v>1</v>
      </c>
      <c r="R419">
        <f t="shared" si="109"/>
        <v>2</v>
      </c>
    </row>
    <row r="420" spans="1:18">
      <c r="A420" t="s">
        <v>26</v>
      </c>
      <c r="B420" t="str">
        <f t="shared" si="105"/>
        <v>SHOW</v>
      </c>
      <c r="C420" t="s">
        <v>51</v>
      </c>
      <c r="D420" t="str">
        <f>"""Mission ERP"",""GBRA"",""15"",""1"",""52304"""</f>
        <v>"Mission ERP","GBRA","15","1","52304"</v>
      </c>
      <c r="E420" t="str">
        <f>"52304"</f>
        <v>52304</v>
      </c>
      <c r="F420" t="str">
        <f>"OPR-COPY SUPPLIES AND SERVICES"</f>
        <v>OPR-COPY SUPPLIES AND SERVICES</v>
      </c>
      <c r="I420" s="8">
        <v>69600</v>
      </c>
      <c r="J420" s="8"/>
      <c r="K420" s="8">
        <v>51900</v>
      </c>
      <c r="L420" s="8"/>
      <c r="M420" s="8">
        <f t="shared" si="106"/>
        <v>-17700</v>
      </c>
      <c r="P420">
        <f t="shared" si="107"/>
        <v>1</v>
      </c>
      <c r="Q420">
        <f t="shared" si="108"/>
        <v>1</v>
      </c>
      <c r="R420">
        <f t="shared" si="109"/>
        <v>2</v>
      </c>
    </row>
    <row r="421" spans="1:18">
      <c r="A421" t="s">
        <v>26</v>
      </c>
      <c r="B421" t="str">
        <f t="shared" si="105"/>
        <v>SHOW</v>
      </c>
      <c r="C421" t="s">
        <v>51</v>
      </c>
      <c r="D421" t="str">
        <f>"""Mission ERP"",""GBRA"",""15"",""1"",""52305"""</f>
        <v>"Mission ERP","GBRA","15","1","52305"</v>
      </c>
      <c r="E421" t="str">
        <f>"52305"</f>
        <v>52305</v>
      </c>
      <c r="F421" t="str">
        <f>"OPR-POSTAGE AND FREIGHT EXPENSE"</f>
        <v>OPR-POSTAGE AND FREIGHT EXPENSE</v>
      </c>
      <c r="I421" s="8">
        <v>53650</v>
      </c>
      <c r="J421" s="8"/>
      <c r="K421" s="8">
        <v>30175</v>
      </c>
      <c r="L421" s="8"/>
      <c r="M421" s="8">
        <f t="shared" si="106"/>
        <v>-23475</v>
      </c>
      <c r="P421">
        <f t="shared" si="107"/>
        <v>1</v>
      </c>
      <c r="Q421">
        <f t="shared" si="108"/>
        <v>1</v>
      </c>
      <c r="R421">
        <f t="shared" si="109"/>
        <v>2</v>
      </c>
    </row>
    <row r="422" spans="1:18">
      <c r="A422" t="s">
        <v>26</v>
      </c>
      <c r="B422" t="str">
        <f t="shared" si="105"/>
        <v>SHOW</v>
      </c>
      <c r="C422" t="s">
        <v>51</v>
      </c>
      <c r="D422" t="str">
        <f>"""Mission ERP"",""GBRA"",""15"",""1"",""52306"""</f>
        <v>"Mission ERP","GBRA","15","1","52306"</v>
      </c>
      <c r="E422" t="str">
        <f>"52306"</f>
        <v>52306</v>
      </c>
      <c r="F422" t="str">
        <f>"OPR-DATA &amp; PHONE EXPENSE"</f>
        <v>OPR-DATA &amp; PHONE EXPENSE</v>
      </c>
      <c r="I422" s="8">
        <v>297074</v>
      </c>
      <c r="J422" s="8"/>
      <c r="K422" s="8">
        <v>288980</v>
      </c>
      <c r="L422" s="8"/>
      <c r="M422" s="8">
        <f t="shared" si="106"/>
        <v>-8094</v>
      </c>
      <c r="P422">
        <f t="shared" si="107"/>
        <v>1</v>
      </c>
      <c r="Q422">
        <f t="shared" si="108"/>
        <v>1</v>
      </c>
      <c r="R422">
        <f t="shared" si="109"/>
        <v>2</v>
      </c>
    </row>
    <row r="423" spans="1:18">
      <c r="A423" t="s">
        <v>26</v>
      </c>
      <c r="B423" t="str">
        <f t="shared" si="105"/>
        <v>SHOW</v>
      </c>
      <c r="C423" t="s">
        <v>51</v>
      </c>
      <c r="D423" t="str">
        <f>"""Mission ERP"",""GBRA"",""15"",""1"",""52320"""</f>
        <v>"Mission ERP","GBRA","15","1","52320"</v>
      </c>
      <c r="E423" t="str">
        <f>"52320"</f>
        <v>52320</v>
      </c>
      <c r="F423" t="str">
        <f>"OPR-EDUCATION EXPENSE"</f>
        <v>OPR-EDUCATION EXPENSE</v>
      </c>
      <c r="I423" s="8">
        <v>60000</v>
      </c>
      <c r="J423" s="8"/>
      <c r="K423" s="8">
        <v>60727</v>
      </c>
      <c r="L423" s="8"/>
      <c r="M423" s="8">
        <f t="shared" si="106"/>
        <v>727</v>
      </c>
      <c r="P423">
        <f t="shared" si="107"/>
        <v>1</v>
      </c>
      <c r="Q423">
        <f t="shared" si="108"/>
        <v>1</v>
      </c>
      <c r="R423">
        <f t="shared" si="109"/>
        <v>2</v>
      </c>
    </row>
    <row r="424" spans="1:18">
      <c r="A424" t="s">
        <v>26</v>
      </c>
      <c r="B424" t="str">
        <f t="shared" si="105"/>
        <v>SHOW</v>
      </c>
      <c r="C424" t="s">
        <v>51</v>
      </c>
      <c r="D424" t="str">
        <f>"""Mission ERP"",""GBRA"",""15"",""1"",""52321"""</f>
        <v>"Mission ERP","GBRA","15","1","52321"</v>
      </c>
      <c r="E424" t="str">
        <f>"52321"</f>
        <v>52321</v>
      </c>
      <c r="F424" t="str">
        <f>"OPR-COMMUNITY AFFAIRS"</f>
        <v>OPR-COMMUNITY AFFAIRS</v>
      </c>
      <c r="I424" s="8">
        <v>106000</v>
      </c>
      <c r="J424" s="8"/>
      <c r="K424" s="8">
        <v>96000</v>
      </c>
      <c r="L424" s="8"/>
      <c r="M424" s="8">
        <f t="shared" si="106"/>
        <v>-10000</v>
      </c>
      <c r="P424">
        <f t="shared" si="107"/>
        <v>1</v>
      </c>
      <c r="Q424">
        <f t="shared" si="108"/>
        <v>1</v>
      </c>
      <c r="R424">
        <f t="shared" si="109"/>
        <v>2</v>
      </c>
    </row>
    <row r="425" spans="1:18">
      <c r="A425" t="s">
        <v>26</v>
      </c>
      <c r="B425" t="str">
        <f t="shared" si="105"/>
        <v>SHOW</v>
      </c>
      <c r="C425" t="s">
        <v>51</v>
      </c>
      <c r="D425" t="str">
        <f>"""Mission ERP"",""GBRA"",""15"",""1"",""52322"""</f>
        <v>"Mission ERP","GBRA","15","1","52322"</v>
      </c>
      <c r="E425" t="str">
        <f>"52322"</f>
        <v>52322</v>
      </c>
      <c r="F425" t="str">
        <f>"OPR-ADVERTISING &amp; SUBSCRIPTION EXPENSE"</f>
        <v>OPR-ADVERTISING &amp; SUBSCRIPTION EXPENSE</v>
      </c>
      <c r="I425" s="8">
        <v>15800</v>
      </c>
      <c r="J425" s="8"/>
      <c r="K425" s="8">
        <v>11000</v>
      </c>
      <c r="L425" s="8"/>
      <c r="M425" s="8">
        <f t="shared" si="106"/>
        <v>-4800</v>
      </c>
      <c r="P425">
        <f t="shared" si="107"/>
        <v>1</v>
      </c>
      <c r="Q425">
        <f t="shared" si="108"/>
        <v>1</v>
      </c>
      <c r="R425">
        <f t="shared" si="109"/>
        <v>2</v>
      </c>
    </row>
    <row r="426" spans="1:18">
      <c r="A426" t="s">
        <v>26</v>
      </c>
      <c r="B426" t="str">
        <f t="shared" si="105"/>
        <v>SHOW</v>
      </c>
      <c r="C426" t="s">
        <v>51</v>
      </c>
      <c r="D426" t="str">
        <f>"""Mission ERP"",""GBRA"",""15"",""1"",""52323"""</f>
        <v>"Mission ERP","GBRA","15","1","52323"</v>
      </c>
      <c r="E426" t="str">
        <f>"52323"</f>
        <v>52323</v>
      </c>
      <c r="F426" t="str">
        <f>"OPR-EMPLOYEE RELATIONS"</f>
        <v>OPR-EMPLOYEE RELATIONS</v>
      </c>
      <c r="I426" s="8">
        <v>95000</v>
      </c>
      <c r="J426" s="8"/>
      <c r="K426" s="8">
        <v>93200</v>
      </c>
      <c r="L426" s="8"/>
      <c r="M426" s="8">
        <f t="shared" si="106"/>
        <v>-1800</v>
      </c>
      <c r="P426">
        <f t="shared" si="107"/>
        <v>1</v>
      </c>
      <c r="Q426">
        <f t="shared" si="108"/>
        <v>1</v>
      </c>
      <c r="R426">
        <f t="shared" si="109"/>
        <v>2</v>
      </c>
    </row>
    <row r="427" spans="1:18">
      <c r="A427" t="s">
        <v>26</v>
      </c>
      <c r="B427" t="str">
        <f t="shared" si="105"/>
        <v>SHOW</v>
      </c>
      <c r="C427" t="s">
        <v>51</v>
      </c>
      <c r="D427" t="str">
        <f>"""Mission ERP"",""GBRA"",""15"",""1"",""52330"""</f>
        <v>"Mission ERP","GBRA","15","1","52330"</v>
      </c>
      <c r="E427" t="str">
        <f>"52330"</f>
        <v>52330</v>
      </c>
      <c r="F427" t="str">
        <f>"OPR-OUTSOURCED PRINTING EXPENSE"</f>
        <v>OPR-OUTSOURCED PRINTING EXPENSE</v>
      </c>
      <c r="I427" s="8">
        <v>99524</v>
      </c>
      <c r="J427" s="8"/>
      <c r="K427" s="8">
        <v>47500</v>
      </c>
      <c r="L427" s="8"/>
      <c r="M427" s="8">
        <f t="shared" si="106"/>
        <v>-52024</v>
      </c>
      <c r="P427">
        <f t="shared" si="107"/>
        <v>1</v>
      </c>
      <c r="Q427">
        <f t="shared" si="108"/>
        <v>1</v>
      </c>
      <c r="R427">
        <f t="shared" si="109"/>
        <v>2</v>
      </c>
    </row>
    <row r="428" spans="1:18">
      <c r="A428" t="s">
        <v>26</v>
      </c>
      <c r="B428" t="str">
        <f t="shared" si="105"/>
        <v>SHOW</v>
      </c>
      <c r="C428" t="s">
        <v>51</v>
      </c>
      <c r="D428" t="str">
        <f>"""Mission ERP"",""GBRA"",""15"",""1"",""52331"""</f>
        <v>"Mission ERP","GBRA","15","1","52331"</v>
      </c>
      <c r="E428" t="str">
        <f>"52331"</f>
        <v>52331</v>
      </c>
      <c r="F428" t="str">
        <f>"OPR-JANITORIAL SUPPLIES AND SERVICE"</f>
        <v>OPR-JANITORIAL SUPPLIES AND SERVICE</v>
      </c>
      <c r="I428" s="8">
        <v>142200</v>
      </c>
      <c r="J428" s="8"/>
      <c r="K428" s="8">
        <v>200600</v>
      </c>
      <c r="L428" s="8"/>
      <c r="M428" s="8">
        <f t="shared" si="106"/>
        <v>58400</v>
      </c>
      <c r="P428">
        <f t="shared" si="107"/>
        <v>1</v>
      </c>
      <c r="Q428">
        <f t="shared" si="108"/>
        <v>1</v>
      </c>
      <c r="R428">
        <f t="shared" si="109"/>
        <v>2</v>
      </c>
    </row>
    <row r="429" spans="1:18" hidden="1">
      <c r="B429" t="s">
        <v>16</v>
      </c>
      <c r="I429" s="9"/>
      <c r="J429" s="8"/>
      <c r="K429" s="9"/>
      <c r="L429" s="8"/>
      <c r="M429" s="9"/>
    </row>
    <row r="430" spans="1:18">
      <c r="B430" t="str">
        <f>IF(R430=0,"HIDE","SHOW")</f>
        <v>SHOW</v>
      </c>
      <c r="F430" s="3" t="str">
        <f>CONCATENATE("Total ",F416)</f>
        <v>Total Office Expenses</v>
      </c>
      <c r="I430" s="10">
        <f>SUM(I417:I429)</f>
        <v>2052698</v>
      </c>
      <c r="J430" s="11"/>
      <c r="K430" s="10">
        <f>SUM(K417:K429)</f>
        <v>2198152</v>
      </c>
      <c r="L430" s="11"/>
      <c r="M430" s="10">
        <f>K430-I430</f>
        <v>145454</v>
      </c>
      <c r="P430">
        <f>IF(I430=0,0,1)</f>
        <v>1</v>
      </c>
      <c r="Q430">
        <f>IF(K430=0,0,1)</f>
        <v>1</v>
      </c>
      <c r="R430">
        <f>P430+Q430</f>
        <v>2</v>
      </c>
    </row>
    <row r="431" spans="1:18">
      <c r="B431" t="s">
        <v>17</v>
      </c>
      <c r="I431" s="8"/>
      <c r="J431" s="8"/>
      <c r="K431" s="8"/>
      <c r="L431" s="8"/>
      <c r="M431" s="8"/>
    </row>
    <row r="432" spans="1:18">
      <c r="B432" t="str">
        <f>B443</f>
        <v>SHOW</v>
      </c>
      <c r="C432">
        <v>52400</v>
      </c>
      <c r="F432" s="3" t="str">
        <f>"Other Operating Expenses"</f>
        <v>Other Operating Expenses</v>
      </c>
      <c r="I432" s="8"/>
      <c r="J432" s="8"/>
      <c r="K432" s="8"/>
      <c r="L432" s="8"/>
      <c r="M432" s="8"/>
    </row>
    <row r="433" spans="1:19">
      <c r="B433" t="str">
        <f>IF(R433=0,"HIDE","SHOW")</f>
        <v>SHOW</v>
      </c>
      <c r="C433" t="s">
        <v>52</v>
      </c>
      <c r="D433" t="str">
        <f>"""Mission ERP"",""GBRA"",""15"",""1"",""52401"""</f>
        <v>"Mission ERP","GBRA","15","1","52401"</v>
      </c>
      <c r="E433" t="str">
        <f>"52401"</f>
        <v>52401</v>
      </c>
      <c r="F433" t="str">
        <f>"OPR-DIRECTORS EXPENSES"</f>
        <v>OPR-DIRECTORS EXPENSES</v>
      </c>
      <c r="I433" s="8">
        <v>30000</v>
      </c>
      <c r="J433" s="8"/>
      <c r="K433" s="8">
        <v>30000</v>
      </c>
      <c r="L433" s="8"/>
      <c r="M433" s="8">
        <f>K433-I433</f>
        <v>0</v>
      </c>
      <c r="P433">
        <f>IF(I433=0,0,1)</f>
        <v>1</v>
      </c>
      <c r="Q433">
        <f>IF(K433=0,0,1)</f>
        <v>1</v>
      </c>
      <c r="R433">
        <f>P433+Q433</f>
        <v>2</v>
      </c>
    </row>
    <row r="434" spans="1:19" hidden="1">
      <c r="A434" t="s">
        <v>26</v>
      </c>
      <c r="B434" t="str">
        <f t="shared" ref="B434:B441" si="110">IF(R434=0,"HIDE","SHOW")</f>
        <v>HIDE</v>
      </c>
      <c r="C434" t="s">
        <v>52</v>
      </c>
      <c r="D434" t="str">
        <f>"""Mission ERP"",""GBRA"",""15"",""1"",""52402"""</f>
        <v>"Mission ERP","GBRA","15","1","52402"</v>
      </c>
      <c r="E434" t="str">
        <f>"52402"</f>
        <v>52402</v>
      </c>
      <c r="F434" t="str">
        <f>"OLD-DO NOT USE, OPR-RENT EXPENSE"</f>
        <v>OLD-DO NOT USE, OPR-RENT EXPENSE</v>
      </c>
      <c r="I434" s="8">
        <v>0</v>
      </c>
      <c r="J434" s="8"/>
      <c r="K434" s="8">
        <v>0</v>
      </c>
      <c r="L434" s="8"/>
      <c r="M434" s="8">
        <f t="shared" ref="M434:M441" si="111">K434-I434</f>
        <v>0</v>
      </c>
      <c r="P434">
        <f t="shared" ref="P434:P441" si="112">IF(I434=0,0,1)</f>
        <v>0</v>
      </c>
      <c r="Q434">
        <f t="shared" ref="Q434:Q441" si="113">IF(K434=0,0,1)</f>
        <v>0</v>
      </c>
      <c r="R434">
        <f t="shared" ref="R434:R441" si="114">P434+Q434</f>
        <v>0</v>
      </c>
    </row>
    <row r="435" spans="1:19">
      <c r="A435" t="s">
        <v>26</v>
      </c>
      <c r="B435" t="str">
        <f t="shared" si="110"/>
        <v>SHOW</v>
      </c>
      <c r="C435" t="s">
        <v>52</v>
      </c>
      <c r="D435" t="str">
        <f>"""Mission ERP"",""GBRA"",""15"",""1"",""52403"""</f>
        <v>"Mission ERP","GBRA","15","1","52403"</v>
      </c>
      <c r="E435" t="str">
        <f>"52403"</f>
        <v>52403</v>
      </c>
      <c r="F435" t="str">
        <f>"OPR-OFFICE/BUILDING RENTAL"</f>
        <v>OPR-OFFICE/BUILDING RENTAL</v>
      </c>
      <c r="I435" s="8">
        <v>250702</v>
      </c>
      <c r="J435" s="8"/>
      <c r="K435" s="8">
        <v>193502</v>
      </c>
      <c r="L435" s="8"/>
      <c r="M435" s="8">
        <f t="shared" si="111"/>
        <v>-57200</v>
      </c>
      <c r="P435">
        <f t="shared" si="112"/>
        <v>1</v>
      </c>
      <c r="Q435">
        <f t="shared" si="113"/>
        <v>1</v>
      </c>
      <c r="R435">
        <f t="shared" si="114"/>
        <v>2</v>
      </c>
    </row>
    <row r="436" spans="1:19">
      <c r="A436" t="s">
        <v>26</v>
      </c>
      <c r="B436" t="str">
        <f t="shared" si="110"/>
        <v>SHOW</v>
      </c>
      <c r="C436" t="s">
        <v>52</v>
      </c>
      <c r="D436" t="str">
        <f>"""Mission ERP"",""GBRA"",""15"",""1"",""52404"""</f>
        <v>"Mission ERP","GBRA","15","1","52404"</v>
      </c>
      <c r="E436" t="str">
        <f>"52404"</f>
        <v>52404</v>
      </c>
      <c r="F436" t="str">
        <f>"OPR-RIGHT OF WAY "</f>
        <v xml:space="preserve">OPR-RIGHT OF WAY </v>
      </c>
      <c r="I436" s="8">
        <v>3700</v>
      </c>
      <c r="J436" s="8"/>
      <c r="K436" s="8">
        <v>4000</v>
      </c>
      <c r="L436" s="8"/>
      <c r="M436" s="8">
        <f t="shared" si="111"/>
        <v>300</v>
      </c>
      <c r="P436">
        <f t="shared" si="112"/>
        <v>1</v>
      </c>
      <c r="Q436">
        <f t="shared" si="113"/>
        <v>1</v>
      </c>
      <c r="R436">
        <f t="shared" si="114"/>
        <v>2</v>
      </c>
    </row>
    <row r="437" spans="1:19">
      <c r="A437" t="s">
        <v>26</v>
      </c>
      <c r="B437" t="str">
        <f t="shared" si="110"/>
        <v>SHOW</v>
      </c>
      <c r="C437" t="s">
        <v>52</v>
      </c>
      <c r="D437" t="str">
        <f>"""Mission ERP"",""GBRA"",""15"",""1"",""52405"""</f>
        <v>"Mission ERP","GBRA","15","1","52405"</v>
      </c>
      <c r="E437" t="str">
        <f>"52405"</f>
        <v>52405</v>
      </c>
      <c r="F437" t="str">
        <f>"OPR-CONCESSIONS/STORE MERCHANDISE"</f>
        <v>OPR-CONCESSIONS/STORE MERCHANDISE</v>
      </c>
      <c r="I437" s="8">
        <v>9000</v>
      </c>
      <c r="J437" s="8"/>
      <c r="K437" s="8">
        <v>5000</v>
      </c>
      <c r="L437" s="8"/>
      <c r="M437" s="8">
        <f t="shared" si="111"/>
        <v>-4000</v>
      </c>
      <c r="P437">
        <f t="shared" si="112"/>
        <v>1</v>
      </c>
      <c r="Q437">
        <f t="shared" si="113"/>
        <v>1</v>
      </c>
      <c r="R437">
        <f t="shared" si="114"/>
        <v>2</v>
      </c>
    </row>
    <row r="438" spans="1:19">
      <c r="A438" t="s">
        <v>26</v>
      </c>
      <c r="B438" t="str">
        <f t="shared" si="110"/>
        <v>SHOW</v>
      </c>
      <c r="C438" t="s">
        <v>52</v>
      </c>
      <c r="D438" t="str">
        <f>"""Mission ERP"",""GBRA"",""15"",""1"",""52406"""</f>
        <v>"Mission ERP","GBRA","15","1","52406"</v>
      </c>
      <c r="E438" t="str">
        <f>"52406"</f>
        <v>52406</v>
      </c>
      <c r="F438" t="str">
        <f>"OPR-CONSTRUCTION PROJ EXPENSE"</f>
        <v>OPR-CONSTRUCTION PROJ EXPENSE</v>
      </c>
      <c r="I438" s="8">
        <v>148455</v>
      </c>
      <c r="J438" s="8"/>
      <c r="K438" s="8">
        <v>217314</v>
      </c>
      <c r="L438" s="8"/>
      <c r="M438" s="8">
        <f t="shared" si="111"/>
        <v>68859</v>
      </c>
      <c r="P438">
        <f t="shared" si="112"/>
        <v>1</v>
      </c>
      <c r="Q438">
        <f t="shared" si="113"/>
        <v>1</v>
      </c>
      <c r="R438">
        <f t="shared" si="114"/>
        <v>2</v>
      </c>
    </row>
    <row r="439" spans="1:19">
      <c r="A439" t="s">
        <v>26</v>
      </c>
      <c r="B439" t="str">
        <f t="shared" si="110"/>
        <v>SHOW</v>
      </c>
      <c r="C439" t="s">
        <v>52</v>
      </c>
      <c r="D439" t="str">
        <f>"""Mission ERP"",""GBRA"",""15"",""1"",""52420"""</f>
        <v>"Mission ERP","GBRA","15","1","52420"</v>
      </c>
      <c r="E439" t="str">
        <f>"52420"</f>
        <v>52420</v>
      </c>
      <c r="F439" t="str">
        <f>"OPR-INSURANCE EXPENSE"</f>
        <v>OPR-INSURANCE EXPENSE</v>
      </c>
      <c r="I439" s="8">
        <v>941698</v>
      </c>
      <c r="J439" s="8"/>
      <c r="K439" s="8">
        <v>1097478</v>
      </c>
      <c r="L439" s="8"/>
      <c r="M439" s="8">
        <f t="shared" si="111"/>
        <v>155780</v>
      </c>
      <c r="P439">
        <f t="shared" si="112"/>
        <v>1</v>
      </c>
      <c r="Q439">
        <f t="shared" si="113"/>
        <v>1</v>
      </c>
      <c r="R439">
        <f t="shared" si="114"/>
        <v>2</v>
      </c>
    </row>
    <row r="440" spans="1:19">
      <c r="A440" t="s">
        <v>26</v>
      </c>
      <c r="B440" t="str">
        <f t="shared" si="110"/>
        <v>SHOW</v>
      </c>
      <c r="C440" t="s">
        <v>52</v>
      </c>
      <c r="D440" t="str">
        <f>"""Mission ERP"",""GBRA"",""15"",""1"",""52430"""</f>
        <v>"Mission ERP","GBRA","15","1","52430"</v>
      </c>
      <c r="E440" t="str">
        <f>"52430"</f>
        <v>52430</v>
      </c>
      <c r="F440" t="str">
        <f>"OPR-MISC EXPENSE"</f>
        <v>OPR-MISC EXPENSE</v>
      </c>
      <c r="I440" s="8">
        <v>278200</v>
      </c>
      <c r="J440" s="8"/>
      <c r="K440" s="8">
        <v>326400</v>
      </c>
      <c r="L440" s="8"/>
      <c r="M440" s="8">
        <f t="shared" si="111"/>
        <v>48200</v>
      </c>
      <c r="P440">
        <f t="shared" si="112"/>
        <v>1</v>
      </c>
      <c r="Q440">
        <f t="shared" si="113"/>
        <v>1</v>
      </c>
      <c r="R440">
        <f t="shared" si="114"/>
        <v>2</v>
      </c>
    </row>
    <row r="441" spans="1:19" hidden="1">
      <c r="A441" t="s">
        <v>26</v>
      </c>
      <c r="B441" t="str">
        <f t="shared" si="110"/>
        <v>HIDE</v>
      </c>
      <c r="C441" t="s">
        <v>52</v>
      </c>
      <c r="D441" t="str">
        <f>"""Mission ERP"",""GBRA"",""15"",""1"",""52450"""</f>
        <v>"Mission ERP","GBRA","15","1","52450"</v>
      </c>
      <c r="E441" t="str">
        <f>"52450"</f>
        <v>52450</v>
      </c>
      <c r="F441" t="str">
        <f>"OPR-DEBT ISSUANCE COSTS"</f>
        <v>OPR-DEBT ISSUANCE COSTS</v>
      </c>
      <c r="I441" s="8">
        <v>0</v>
      </c>
      <c r="J441" s="8"/>
      <c r="K441" s="8">
        <v>0</v>
      </c>
      <c r="L441" s="8"/>
      <c r="M441" s="8">
        <f t="shared" si="111"/>
        <v>0</v>
      </c>
      <c r="P441">
        <f t="shared" si="112"/>
        <v>0</v>
      </c>
      <c r="Q441">
        <f t="shared" si="113"/>
        <v>0</v>
      </c>
      <c r="R441">
        <f t="shared" si="114"/>
        <v>0</v>
      </c>
    </row>
    <row r="442" spans="1:19" hidden="1">
      <c r="B442" t="s">
        <v>16</v>
      </c>
      <c r="I442" s="9"/>
      <c r="J442" s="8"/>
      <c r="K442" s="9"/>
      <c r="L442" s="8"/>
      <c r="M442" s="9"/>
    </row>
    <row r="443" spans="1:19">
      <c r="B443" t="str">
        <f>IF(R443=0,"HIDE","SHOW")</f>
        <v>SHOW</v>
      </c>
      <c r="F443" s="3" t="str">
        <f>CONCATENATE("Total ",F432)</f>
        <v>Total Other Operating Expenses</v>
      </c>
      <c r="I443" s="10">
        <f>SUM(I433:I442)</f>
        <v>1661755</v>
      </c>
      <c r="J443" s="11"/>
      <c r="K443" s="10">
        <f>SUM(K433:K442)</f>
        <v>1873694</v>
      </c>
      <c r="L443" s="11"/>
      <c r="M443" s="10">
        <f>K443-I443</f>
        <v>211939</v>
      </c>
      <c r="P443">
        <f>IF(I443=0,0,1)</f>
        <v>1</v>
      </c>
      <c r="Q443">
        <f>IF(K443=0,0,1)</f>
        <v>1</v>
      </c>
      <c r="R443">
        <f>P443+Q443</f>
        <v>2</v>
      </c>
    </row>
    <row r="444" spans="1:19">
      <c r="F444" s="3"/>
      <c r="I444" s="11"/>
      <c r="J444" s="11"/>
      <c r="K444" s="11"/>
      <c r="L444" s="11"/>
      <c r="M444" s="11"/>
    </row>
    <row r="445" spans="1:19">
      <c r="B445" t="str">
        <f>IF(R445=0,"HIDE","SHOW")</f>
        <v>SHOW</v>
      </c>
      <c r="F445" s="3" t="s">
        <v>53</v>
      </c>
      <c r="I445" s="15">
        <f>I443+I430+I414+I389+I357+I345</f>
        <v>63115163</v>
      </c>
      <c r="J445" s="11"/>
      <c r="K445" s="15">
        <f>K443+K430+K414+K389+K357+K345</f>
        <v>73706043</v>
      </c>
      <c r="L445" s="11"/>
      <c r="M445" s="15">
        <f>K445-I445</f>
        <v>10590880</v>
      </c>
      <c r="P445">
        <f>IF(I445=0,0,1)</f>
        <v>1</v>
      </c>
      <c r="Q445">
        <f>IF(K445=0,0,1)</f>
        <v>1</v>
      </c>
      <c r="R445">
        <f>P445+Q445</f>
        <v>2</v>
      </c>
      <c r="S445" s="17"/>
    </row>
    <row r="446" spans="1:19">
      <c r="B446" t="str">
        <f>B443</f>
        <v>SHOW</v>
      </c>
      <c r="I446" s="8"/>
      <c r="J446" s="8"/>
      <c r="K446" s="8"/>
      <c r="L446" s="8"/>
      <c r="M446" s="8"/>
    </row>
    <row r="447" spans="1:19">
      <c r="B447" t="str">
        <f>B455</f>
        <v>SHOW</v>
      </c>
      <c r="C447">
        <v>53100</v>
      </c>
      <c r="F447" s="3" t="s">
        <v>54</v>
      </c>
      <c r="I447" s="8"/>
      <c r="J447" s="8"/>
      <c r="K447" s="8"/>
      <c r="L447" s="8"/>
      <c r="M447" s="8"/>
    </row>
    <row r="448" spans="1:19">
      <c r="B448" t="str">
        <f>IF(R448=0,"HIDE","SHOW")</f>
        <v>SHOW</v>
      </c>
      <c r="C448" t="s">
        <v>55</v>
      </c>
      <c r="D448" t="str">
        <f>"""Mission ERP"",""GBRA"",""15"",""1"",""53101"""</f>
        <v>"Mission ERP","GBRA","15","1","53101"</v>
      </c>
      <c r="E448" t="str">
        <f>"53101"</f>
        <v>53101</v>
      </c>
      <c r="F448" t="str">
        <f>"M&amp;R-EQUIPMENT"</f>
        <v>M&amp;R-EQUIPMENT</v>
      </c>
      <c r="I448" s="8">
        <v>472700</v>
      </c>
      <c r="J448" s="8"/>
      <c r="K448" s="8">
        <v>648600</v>
      </c>
      <c r="L448" s="8"/>
      <c r="M448" s="8">
        <f>K448-I448</f>
        <v>175900</v>
      </c>
      <c r="P448">
        <f>IF(I448=0,0,1)</f>
        <v>1</v>
      </c>
      <c r="Q448">
        <f>IF(K448=0,0,1)</f>
        <v>1</v>
      </c>
      <c r="R448">
        <f>P448+Q448</f>
        <v>2</v>
      </c>
    </row>
    <row r="449" spans="1:18">
      <c r="A449" t="s">
        <v>26</v>
      </c>
      <c r="B449" t="str">
        <f t="shared" ref="B449:B453" si="115">IF(R449=0,"HIDE","SHOW")</f>
        <v>SHOW</v>
      </c>
      <c r="C449" t="s">
        <v>55</v>
      </c>
      <c r="D449" t="str">
        <f>"""Mission ERP"",""GBRA"",""15"",""1"",""53105"""</f>
        <v>"Mission ERP","GBRA","15","1","53105"</v>
      </c>
      <c r="E449" t="str">
        <f>"53105"</f>
        <v>53105</v>
      </c>
      <c r="F449" t="str">
        <f>"M&amp;R-GENERATORS"</f>
        <v>M&amp;R-GENERATORS</v>
      </c>
      <c r="I449" s="8">
        <v>46000</v>
      </c>
      <c r="J449" s="8"/>
      <c r="K449" s="8">
        <v>8000</v>
      </c>
      <c r="L449" s="8"/>
      <c r="M449" s="8">
        <f t="shared" ref="M449:M453" si="116">K449-I449</f>
        <v>-38000</v>
      </c>
      <c r="P449">
        <f t="shared" ref="P449:P453" si="117">IF(I449=0,0,1)</f>
        <v>1</v>
      </c>
      <c r="Q449">
        <f t="shared" ref="Q449:Q453" si="118">IF(K449=0,0,1)</f>
        <v>1</v>
      </c>
      <c r="R449">
        <f t="shared" ref="R449:R453" si="119">P449+Q449</f>
        <v>2</v>
      </c>
    </row>
    <row r="450" spans="1:18">
      <c r="A450" t="s">
        <v>26</v>
      </c>
      <c r="B450" t="str">
        <f t="shared" si="115"/>
        <v>SHOW</v>
      </c>
      <c r="C450" t="s">
        <v>55</v>
      </c>
      <c r="D450" t="str">
        <f>"""Mission ERP"",""GBRA"",""15"",""1"",""53110"""</f>
        <v>"Mission ERP","GBRA","15","1","53110"</v>
      </c>
      <c r="E450" t="str">
        <f>"53110"</f>
        <v>53110</v>
      </c>
      <c r="F450" t="str">
        <f>"M&amp;R-CONTROL SYSTEMS"</f>
        <v>M&amp;R-CONTROL SYSTEMS</v>
      </c>
      <c r="I450" s="8">
        <v>204200</v>
      </c>
      <c r="J450" s="8"/>
      <c r="K450" s="8">
        <v>378397</v>
      </c>
      <c r="L450" s="8"/>
      <c r="M450" s="8">
        <f t="shared" si="116"/>
        <v>174197</v>
      </c>
      <c r="P450">
        <f t="shared" si="117"/>
        <v>1</v>
      </c>
      <c r="Q450">
        <f t="shared" si="118"/>
        <v>1</v>
      </c>
      <c r="R450">
        <f t="shared" si="119"/>
        <v>2</v>
      </c>
    </row>
    <row r="451" spans="1:18">
      <c r="A451" t="s">
        <v>26</v>
      </c>
      <c r="B451" t="str">
        <f t="shared" si="115"/>
        <v>SHOW</v>
      </c>
      <c r="C451" t="s">
        <v>55</v>
      </c>
      <c r="D451" t="str">
        <f>"""Mission ERP"",""GBRA"",""15"",""1"",""53115"""</f>
        <v>"Mission ERP","GBRA","15","1","53115"</v>
      </c>
      <c r="E451" t="str">
        <f>"53115"</f>
        <v>53115</v>
      </c>
      <c r="F451" t="str">
        <f>"M&amp;R-METERS"</f>
        <v>M&amp;R-METERS</v>
      </c>
      <c r="I451" s="8">
        <v>223900</v>
      </c>
      <c r="J451" s="8"/>
      <c r="K451" s="8">
        <v>250500</v>
      </c>
      <c r="L451" s="8"/>
      <c r="M451" s="8">
        <f t="shared" si="116"/>
        <v>26600</v>
      </c>
      <c r="P451">
        <f t="shared" si="117"/>
        <v>1</v>
      </c>
      <c r="Q451">
        <f t="shared" si="118"/>
        <v>1</v>
      </c>
      <c r="R451">
        <f t="shared" si="119"/>
        <v>2</v>
      </c>
    </row>
    <row r="452" spans="1:18">
      <c r="A452" t="s">
        <v>26</v>
      </c>
      <c r="B452" t="str">
        <f t="shared" si="115"/>
        <v>SHOW</v>
      </c>
      <c r="C452" t="s">
        <v>55</v>
      </c>
      <c r="D452" t="str">
        <f>"""Mission ERP"",""GBRA"",""15"",""1"",""53120"""</f>
        <v>"Mission ERP","GBRA","15","1","53120"</v>
      </c>
      <c r="E452" t="str">
        <f>"53120"</f>
        <v>53120</v>
      </c>
      <c r="F452" t="str">
        <f>"M&amp;R-BOATS"</f>
        <v>M&amp;R-BOATS</v>
      </c>
      <c r="I452" s="8">
        <v>10400</v>
      </c>
      <c r="J452" s="8"/>
      <c r="K452" s="8">
        <v>10400</v>
      </c>
      <c r="L452" s="8"/>
      <c r="M452" s="8">
        <f t="shared" si="116"/>
        <v>0</v>
      </c>
      <c r="P452">
        <f t="shared" si="117"/>
        <v>1</v>
      </c>
      <c r="Q452">
        <f t="shared" si="118"/>
        <v>1</v>
      </c>
      <c r="R452">
        <f t="shared" si="119"/>
        <v>2</v>
      </c>
    </row>
    <row r="453" spans="1:18" hidden="1">
      <c r="A453" t="s">
        <v>26</v>
      </c>
      <c r="B453" t="str">
        <f t="shared" si="115"/>
        <v>HIDE</v>
      </c>
      <c r="C453" t="s">
        <v>55</v>
      </c>
      <c r="D453" t="str">
        <f>"""Mission ERP"",""GBRA"",""15"",""1"",""53130"""</f>
        <v>"Mission ERP","GBRA","15","1","53130"</v>
      </c>
      <c r="E453" t="str">
        <f>"53130"</f>
        <v>53130</v>
      </c>
      <c r="F453" t="str">
        <f>"OLD-DO NOT USE, M&amp;R-HYDROELECTRIC"</f>
        <v>OLD-DO NOT USE, M&amp;R-HYDROELECTRIC</v>
      </c>
      <c r="I453" s="8">
        <v>0</v>
      </c>
      <c r="J453" s="8"/>
      <c r="K453" s="8">
        <v>0</v>
      </c>
      <c r="L453" s="8"/>
      <c r="M453" s="8">
        <f t="shared" si="116"/>
        <v>0</v>
      </c>
      <c r="P453">
        <f t="shared" si="117"/>
        <v>0</v>
      </c>
      <c r="Q453">
        <f t="shared" si="118"/>
        <v>0</v>
      </c>
      <c r="R453">
        <f t="shared" si="119"/>
        <v>0</v>
      </c>
    </row>
    <row r="454" spans="1:18" hidden="1">
      <c r="B454" t="s">
        <v>16</v>
      </c>
      <c r="I454" s="9"/>
      <c r="J454" s="8"/>
      <c r="K454" s="9"/>
      <c r="L454" s="8"/>
      <c r="M454" s="9"/>
    </row>
    <row r="455" spans="1:18">
      <c r="B455" t="str">
        <f>IF(R455=0,"HIDE","SHOW")</f>
        <v>SHOW</v>
      </c>
      <c r="F455" s="3" t="str">
        <f>CONCATENATE("Total ",F447)</f>
        <v>Total Maintenance and Repair Equipment</v>
      </c>
      <c r="I455" s="10">
        <f>SUM(I448:I454)</f>
        <v>957200</v>
      </c>
      <c r="J455" s="11"/>
      <c r="K455" s="10">
        <f>SUM(K448:K454)</f>
        <v>1295897</v>
      </c>
      <c r="L455" s="11"/>
      <c r="M455" s="10">
        <f>K455-I455</f>
        <v>338697</v>
      </c>
      <c r="P455">
        <f>IF(I455=0,0,1)</f>
        <v>1</v>
      </c>
      <c r="Q455">
        <f>IF(K455=0,0,1)</f>
        <v>1</v>
      </c>
      <c r="R455">
        <f>P455+Q455</f>
        <v>2</v>
      </c>
    </row>
    <row r="456" spans="1:18">
      <c r="B456" t="str">
        <f>B455</f>
        <v>SHOW</v>
      </c>
      <c r="I456" s="8"/>
      <c r="J456" s="8"/>
      <c r="K456" s="8"/>
      <c r="L456" s="8"/>
      <c r="M456" s="8"/>
    </row>
    <row r="457" spans="1:18">
      <c r="B457" t="str">
        <f>B475</f>
        <v>SHOW</v>
      </c>
      <c r="C457">
        <v>53200</v>
      </c>
      <c r="F457" s="3" t="str">
        <f>"Structures"</f>
        <v>Structures</v>
      </c>
      <c r="I457" s="8"/>
      <c r="J457" s="8"/>
      <c r="K457" s="8"/>
      <c r="L457" s="8"/>
      <c r="M457" s="8"/>
    </row>
    <row r="458" spans="1:18">
      <c r="B458" t="str">
        <f>IF(R458=0,"HIDE","SHOW")</f>
        <v>SHOW</v>
      </c>
      <c r="C458" t="s">
        <v>56</v>
      </c>
      <c r="D458" t="str">
        <f>"""Mission ERP"",""GBRA"",""15"",""1"",""53201"""</f>
        <v>"Mission ERP","GBRA","15","1","53201"</v>
      </c>
      <c r="E458" t="str">
        <f>"53201"</f>
        <v>53201</v>
      </c>
      <c r="F458" t="str">
        <f>"M&amp;R-BUILDING"</f>
        <v>M&amp;R-BUILDING</v>
      </c>
      <c r="I458" s="8">
        <v>505726</v>
      </c>
      <c r="J458" s="8"/>
      <c r="K458" s="8">
        <v>500054</v>
      </c>
      <c r="L458" s="8"/>
      <c r="M458" s="8">
        <f>K458-I458</f>
        <v>-5672</v>
      </c>
      <c r="P458">
        <f>IF(I458=0,0,1)</f>
        <v>1</v>
      </c>
      <c r="Q458">
        <f>IF(K458=0,0,1)</f>
        <v>1</v>
      </c>
      <c r="R458">
        <f>P458+Q458</f>
        <v>2</v>
      </c>
    </row>
    <row r="459" spans="1:18">
      <c r="A459" t="s">
        <v>26</v>
      </c>
      <c r="B459" t="str">
        <f t="shared" ref="B459:B473" si="120">IF(R459=0,"HIDE","SHOW")</f>
        <v>SHOW</v>
      </c>
      <c r="C459" t="s">
        <v>56</v>
      </c>
      <c r="D459" t="str">
        <f>"""Mission ERP"",""GBRA"",""15"",""1"",""53202"""</f>
        <v>"Mission ERP","GBRA","15","1","53202"</v>
      </c>
      <c r="E459" t="str">
        <f>"53202"</f>
        <v>53202</v>
      </c>
      <c r="F459" t="str">
        <f>"M&amp;R-CLEARWELLS"</f>
        <v>M&amp;R-CLEARWELLS</v>
      </c>
      <c r="I459" s="8">
        <v>14000</v>
      </c>
      <c r="J459" s="8"/>
      <c r="K459" s="8">
        <v>39000</v>
      </c>
      <c r="L459" s="8"/>
      <c r="M459" s="8">
        <f t="shared" ref="M459:M473" si="121">K459-I459</f>
        <v>25000</v>
      </c>
      <c r="P459">
        <f t="shared" ref="P459:P473" si="122">IF(I459=0,0,1)</f>
        <v>1</v>
      </c>
      <c r="Q459">
        <f t="shared" ref="Q459:Q473" si="123">IF(K459=0,0,1)</f>
        <v>1</v>
      </c>
      <c r="R459">
        <f t="shared" ref="R459:R473" si="124">P459+Q459</f>
        <v>2</v>
      </c>
    </row>
    <row r="460" spans="1:18">
      <c r="A460" t="s">
        <v>26</v>
      </c>
      <c r="B460" t="str">
        <f t="shared" si="120"/>
        <v>SHOW</v>
      </c>
      <c r="C460" t="s">
        <v>56</v>
      </c>
      <c r="D460" t="str">
        <f>"""Mission ERP"",""GBRA"",""15"",""1"",""53205"""</f>
        <v>"Mission ERP","GBRA","15","1","53205"</v>
      </c>
      <c r="E460" t="str">
        <f>"53205"</f>
        <v>53205</v>
      </c>
      <c r="F460" t="str">
        <f>"M&amp;R-PUMPS AND MOTORS"</f>
        <v>M&amp;R-PUMPS AND MOTORS</v>
      </c>
      <c r="I460" s="8">
        <v>1048750</v>
      </c>
      <c r="J460" s="8"/>
      <c r="K460" s="8">
        <v>1029000</v>
      </c>
      <c r="L460" s="8"/>
      <c r="M460" s="8">
        <f t="shared" si="121"/>
        <v>-19750</v>
      </c>
      <c r="P460">
        <f t="shared" si="122"/>
        <v>1</v>
      </c>
      <c r="Q460">
        <f t="shared" si="123"/>
        <v>1</v>
      </c>
      <c r="R460">
        <f t="shared" si="124"/>
        <v>2</v>
      </c>
    </row>
    <row r="461" spans="1:18">
      <c r="A461" t="s">
        <v>26</v>
      </c>
      <c r="B461" t="str">
        <f t="shared" si="120"/>
        <v>SHOW</v>
      </c>
      <c r="C461" t="s">
        <v>56</v>
      </c>
      <c r="D461" t="str">
        <f>"""Mission ERP"",""GBRA"",""15"",""1"",""53210"""</f>
        <v>"Mission ERP","GBRA","15","1","53210"</v>
      </c>
      <c r="E461" t="str">
        <f>"53210"</f>
        <v>53210</v>
      </c>
      <c r="F461" t="str">
        <f>"M&amp;R-GATES AND VALVES"</f>
        <v>M&amp;R-GATES AND VALVES</v>
      </c>
      <c r="I461" s="8">
        <v>133700</v>
      </c>
      <c r="J461" s="8"/>
      <c r="K461" s="8">
        <v>86350</v>
      </c>
      <c r="L461" s="8"/>
      <c r="M461" s="8">
        <f t="shared" si="121"/>
        <v>-47350</v>
      </c>
      <c r="P461">
        <f t="shared" si="122"/>
        <v>1</v>
      </c>
      <c r="Q461">
        <f t="shared" si="123"/>
        <v>1</v>
      </c>
      <c r="R461">
        <f t="shared" si="124"/>
        <v>2</v>
      </c>
    </row>
    <row r="462" spans="1:18">
      <c r="A462" t="s">
        <v>26</v>
      </c>
      <c r="B462" t="str">
        <f t="shared" si="120"/>
        <v>SHOW</v>
      </c>
      <c r="C462" t="s">
        <v>56</v>
      </c>
      <c r="D462" t="str">
        <f>"""Mission ERP"",""GBRA"",""15"",""1"",""53215"""</f>
        <v>"Mission ERP","GBRA","15","1","53215"</v>
      </c>
      <c r="E462" t="str">
        <f>"53215"</f>
        <v>53215</v>
      </c>
      <c r="F462" t="str">
        <f>"M&amp;R-LIFTSTATIONS"</f>
        <v>M&amp;R-LIFTSTATIONS</v>
      </c>
      <c r="I462" s="8">
        <v>90000</v>
      </c>
      <c r="J462" s="8"/>
      <c r="K462" s="8">
        <v>90000</v>
      </c>
      <c r="L462" s="8"/>
      <c r="M462" s="8">
        <f t="shared" si="121"/>
        <v>0</v>
      </c>
      <c r="P462">
        <f t="shared" si="122"/>
        <v>1</v>
      </c>
      <c r="Q462">
        <f t="shared" si="123"/>
        <v>1</v>
      </c>
      <c r="R462">
        <f t="shared" si="124"/>
        <v>2</v>
      </c>
    </row>
    <row r="463" spans="1:18">
      <c r="A463" t="s">
        <v>26</v>
      </c>
      <c r="B463" t="str">
        <f t="shared" si="120"/>
        <v>SHOW</v>
      </c>
      <c r="C463" t="s">
        <v>56</v>
      </c>
      <c r="D463" t="str">
        <f>"""Mission ERP"",""GBRA"",""15"",""1"",""53216"""</f>
        <v>"Mission ERP","GBRA","15","1","53216"</v>
      </c>
      <c r="E463" t="str">
        <f>"53216"</f>
        <v>53216</v>
      </c>
      <c r="F463" t="str">
        <f>"M&amp;R-PUMPSTATIONS"</f>
        <v>M&amp;R-PUMPSTATIONS</v>
      </c>
      <c r="I463" s="8">
        <v>448500</v>
      </c>
      <c r="J463" s="8"/>
      <c r="K463" s="8">
        <v>497500</v>
      </c>
      <c r="L463" s="8"/>
      <c r="M463" s="8">
        <f t="shared" si="121"/>
        <v>49000</v>
      </c>
      <c r="P463">
        <f t="shared" si="122"/>
        <v>1</v>
      </c>
      <c r="Q463">
        <f t="shared" si="123"/>
        <v>1</v>
      </c>
      <c r="R463">
        <f t="shared" si="124"/>
        <v>2</v>
      </c>
    </row>
    <row r="464" spans="1:18">
      <c r="A464" t="s">
        <v>26</v>
      </c>
      <c r="B464" t="str">
        <f t="shared" si="120"/>
        <v>SHOW</v>
      </c>
      <c r="C464" t="s">
        <v>56</v>
      </c>
      <c r="D464" t="str">
        <f>"""Mission ERP"",""GBRA"",""15"",""1"",""53220"""</f>
        <v>"Mission ERP","GBRA","15","1","53220"</v>
      </c>
      <c r="E464" t="str">
        <f>"53220"</f>
        <v>53220</v>
      </c>
      <c r="F464" t="str">
        <f>"M&amp;R-CLARIFIERS"</f>
        <v>M&amp;R-CLARIFIERS</v>
      </c>
      <c r="I464" s="8">
        <v>103000</v>
      </c>
      <c r="J464" s="8"/>
      <c r="K464" s="8">
        <v>105500</v>
      </c>
      <c r="L464" s="8"/>
      <c r="M464" s="8">
        <f t="shared" si="121"/>
        <v>2500</v>
      </c>
      <c r="P464">
        <f t="shared" si="122"/>
        <v>1</v>
      </c>
      <c r="Q464">
        <f t="shared" si="123"/>
        <v>1</v>
      </c>
      <c r="R464">
        <f t="shared" si="124"/>
        <v>2</v>
      </c>
    </row>
    <row r="465" spans="1:18" hidden="1">
      <c r="A465" t="s">
        <v>26</v>
      </c>
      <c r="B465" t="str">
        <f t="shared" si="120"/>
        <v>HIDE</v>
      </c>
      <c r="C465" t="s">
        <v>56</v>
      </c>
      <c r="D465" t="str">
        <f>"""Mission ERP"",""GBRA"",""15"",""1"",""53225"""</f>
        <v>"Mission ERP","GBRA","15","1","53225"</v>
      </c>
      <c r="E465" t="str">
        <f>"53225"</f>
        <v>53225</v>
      </c>
      <c r="F465" t="str">
        <f>"OLD-DO NOT USE, M&amp;R-FENCES"</f>
        <v>OLD-DO NOT USE, M&amp;R-FENCES</v>
      </c>
      <c r="I465" s="8">
        <v>0</v>
      </c>
      <c r="J465" s="8"/>
      <c r="K465" s="8">
        <v>0</v>
      </c>
      <c r="L465" s="8"/>
      <c r="M465" s="8">
        <f t="shared" si="121"/>
        <v>0</v>
      </c>
      <c r="P465">
        <f t="shared" si="122"/>
        <v>0</v>
      </c>
      <c r="Q465">
        <f t="shared" si="123"/>
        <v>0</v>
      </c>
      <c r="R465">
        <f t="shared" si="124"/>
        <v>0</v>
      </c>
    </row>
    <row r="466" spans="1:18">
      <c r="A466" t="s">
        <v>26</v>
      </c>
      <c r="B466" t="str">
        <f t="shared" si="120"/>
        <v>SHOW</v>
      </c>
      <c r="C466" t="s">
        <v>56</v>
      </c>
      <c r="D466" t="str">
        <f>"""Mission ERP"",""GBRA"",""15"",""1"",""53230"""</f>
        <v>"Mission ERP","GBRA","15","1","53230"</v>
      </c>
      <c r="E466" t="str">
        <f>"53230"</f>
        <v>53230</v>
      </c>
      <c r="F466" t="str">
        <f>"M&amp;R-PIPELINES"</f>
        <v>M&amp;R-PIPELINES</v>
      </c>
      <c r="I466" s="8">
        <v>461000</v>
      </c>
      <c r="J466" s="8"/>
      <c r="K466" s="8">
        <v>482000</v>
      </c>
      <c r="L466" s="8"/>
      <c r="M466" s="8">
        <f t="shared" si="121"/>
        <v>21000</v>
      </c>
      <c r="P466">
        <f t="shared" si="122"/>
        <v>1</v>
      </c>
      <c r="Q466">
        <f t="shared" si="123"/>
        <v>1</v>
      </c>
      <c r="R466">
        <f t="shared" si="124"/>
        <v>2</v>
      </c>
    </row>
    <row r="467" spans="1:18">
      <c r="A467" t="s">
        <v>26</v>
      </c>
      <c r="B467" t="str">
        <f t="shared" si="120"/>
        <v>SHOW</v>
      </c>
      <c r="C467" t="s">
        <v>56</v>
      </c>
      <c r="D467" t="str">
        <f>"""Mission ERP"",""GBRA"",""15"",""1"",""53235"""</f>
        <v>"Mission ERP","GBRA","15","1","53235"</v>
      </c>
      <c r="E467" t="str">
        <f>"53235"</f>
        <v>53235</v>
      </c>
      <c r="F467" t="str">
        <f>"M&amp;R-TRANSMISSION LINES"</f>
        <v>M&amp;R-TRANSMISSION LINES</v>
      </c>
      <c r="I467" s="8">
        <v>102500</v>
      </c>
      <c r="J467" s="8"/>
      <c r="K467" s="8">
        <v>120000</v>
      </c>
      <c r="L467" s="8"/>
      <c r="M467" s="8">
        <f t="shared" si="121"/>
        <v>17500</v>
      </c>
      <c r="P467">
        <f t="shared" si="122"/>
        <v>1</v>
      </c>
      <c r="Q467">
        <f t="shared" si="123"/>
        <v>1</v>
      </c>
      <c r="R467">
        <f t="shared" si="124"/>
        <v>2</v>
      </c>
    </row>
    <row r="468" spans="1:18">
      <c r="A468" t="s">
        <v>26</v>
      </c>
      <c r="B468" t="str">
        <f t="shared" si="120"/>
        <v>SHOW</v>
      </c>
      <c r="C468" t="s">
        <v>56</v>
      </c>
      <c r="D468" t="str">
        <f>"""Mission ERP"",""GBRA"",""15"",""1"",""53237"""</f>
        <v>"Mission ERP","GBRA","15","1","53237"</v>
      </c>
      <c r="E468" t="str">
        <f>"53237"</f>
        <v>53237</v>
      </c>
      <c r="F468" t="str">
        <f>"M&amp;R UV SYSTEM"</f>
        <v>M&amp;R UV SYSTEM</v>
      </c>
      <c r="I468" s="8">
        <v>20000</v>
      </c>
      <c r="J468" s="8"/>
      <c r="K468" s="8">
        <v>60000</v>
      </c>
      <c r="L468" s="8"/>
      <c r="M468" s="8">
        <f t="shared" si="121"/>
        <v>40000</v>
      </c>
      <c r="P468">
        <f t="shared" si="122"/>
        <v>1</v>
      </c>
      <c r="Q468">
        <f t="shared" si="123"/>
        <v>1</v>
      </c>
      <c r="R468">
        <f t="shared" si="124"/>
        <v>2</v>
      </c>
    </row>
    <row r="469" spans="1:18">
      <c r="A469" t="s">
        <v>26</v>
      </c>
      <c r="B469" t="str">
        <f t="shared" si="120"/>
        <v>SHOW</v>
      </c>
      <c r="C469" t="s">
        <v>56</v>
      </c>
      <c r="D469" t="str">
        <f>"""Mission ERP"",""GBRA"",""15"",""1"",""53238"""</f>
        <v>"Mission ERP","GBRA","15","1","53238"</v>
      </c>
      <c r="E469" t="str">
        <f>"53238"</f>
        <v>53238</v>
      </c>
      <c r="F469" t="str">
        <f>"M&amp;R-FILTERS"</f>
        <v>M&amp;R-FILTERS</v>
      </c>
      <c r="I469" s="8">
        <v>121000</v>
      </c>
      <c r="J469" s="8"/>
      <c r="K469" s="8">
        <v>180000</v>
      </c>
      <c r="L469" s="8"/>
      <c r="M469" s="8">
        <f t="shared" si="121"/>
        <v>59000</v>
      </c>
      <c r="P469">
        <f t="shared" si="122"/>
        <v>1</v>
      </c>
      <c r="Q469">
        <f t="shared" si="123"/>
        <v>1</v>
      </c>
      <c r="R469">
        <f t="shared" si="124"/>
        <v>2</v>
      </c>
    </row>
    <row r="470" spans="1:18">
      <c r="A470" t="s">
        <v>26</v>
      </c>
      <c r="B470" t="str">
        <f t="shared" si="120"/>
        <v>SHOW</v>
      </c>
      <c r="C470" t="s">
        <v>56</v>
      </c>
      <c r="D470" t="str">
        <f>"""Mission ERP"",""GBRA"",""15"",""1"",""53240"""</f>
        <v>"Mission ERP","GBRA","15","1","53240"</v>
      </c>
      <c r="E470" t="str">
        <f>"53240"</f>
        <v>53240</v>
      </c>
      <c r="F470" t="str">
        <f>"M&amp;R-SPILLGATES"</f>
        <v>M&amp;R-SPILLGATES</v>
      </c>
      <c r="I470" s="8">
        <v>0</v>
      </c>
      <c r="J470" s="8"/>
      <c r="K470" s="8">
        <v>40000</v>
      </c>
      <c r="L470" s="8"/>
      <c r="M470" s="8">
        <f t="shared" si="121"/>
        <v>40000</v>
      </c>
      <c r="P470">
        <f t="shared" si="122"/>
        <v>0</v>
      </c>
      <c r="Q470">
        <f t="shared" si="123"/>
        <v>1</v>
      </c>
      <c r="R470">
        <f t="shared" si="124"/>
        <v>1</v>
      </c>
    </row>
    <row r="471" spans="1:18">
      <c r="A471" t="s">
        <v>26</v>
      </c>
      <c r="B471" t="str">
        <f t="shared" si="120"/>
        <v>SHOW</v>
      </c>
      <c r="C471" t="s">
        <v>56</v>
      </c>
      <c r="D471" t="str">
        <f>"""Mission ERP"",""GBRA"",""15"",""1"",""53245"""</f>
        <v>"Mission ERP","GBRA","15","1","53245"</v>
      </c>
      <c r="E471" t="str">
        <f>"53245"</f>
        <v>53245</v>
      </c>
      <c r="F471" t="str">
        <f>"M&amp;R-POWERHOUSE "</f>
        <v xml:space="preserve">M&amp;R-POWERHOUSE </v>
      </c>
      <c r="I471" s="8">
        <v>0</v>
      </c>
      <c r="J471" s="8"/>
      <c r="K471" s="8">
        <v>81500</v>
      </c>
      <c r="L471" s="8"/>
      <c r="M471" s="8">
        <f t="shared" si="121"/>
        <v>81500</v>
      </c>
      <c r="P471">
        <f t="shared" si="122"/>
        <v>0</v>
      </c>
      <c r="Q471">
        <f t="shared" si="123"/>
        <v>1</v>
      </c>
      <c r="R471">
        <f t="shared" si="124"/>
        <v>1</v>
      </c>
    </row>
    <row r="472" spans="1:18">
      <c r="A472" t="s">
        <v>26</v>
      </c>
      <c r="B472" t="str">
        <f t="shared" si="120"/>
        <v>SHOW</v>
      </c>
      <c r="C472" t="s">
        <v>56</v>
      </c>
      <c r="D472" t="str">
        <f>"""Mission ERP"",""GBRA"",""15"",""1"",""53250"""</f>
        <v>"Mission ERP","GBRA","15","1","53250"</v>
      </c>
      <c r="E472" t="str">
        <f>"53250"</f>
        <v>53250</v>
      </c>
      <c r="F472" t="str">
        <f>"M&amp;R-LAKE STRUCTURES"</f>
        <v>M&amp;R-LAKE STRUCTURES</v>
      </c>
      <c r="I472" s="8">
        <v>3000</v>
      </c>
      <c r="J472" s="8"/>
      <c r="K472" s="8">
        <v>37000</v>
      </c>
      <c r="L472" s="8"/>
      <c r="M472" s="8">
        <f t="shared" si="121"/>
        <v>34000</v>
      </c>
      <c r="P472">
        <f t="shared" si="122"/>
        <v>1</v>
      </c>
      <c r="Q472">
        <f t="shared" si="123"/>
        <v>1</v>
      </c>
      <c r="R472">
        <f t="shared" si="124"/>
        <v>2</v>
      </c>
    </row>
    <row r="473" spans="1:18">
      <c r="A473" t="s">
        <v>26</v>
      </c>
      <c r="B473" t="str">
        <f t="shared" si="120"/>
        <v>SHOW</v>
      </c>
      <c r="C473" t="s">
        <v>56</v>
      </c>
      <c r="D473" t="str">
        <f>"""Mission ERP"",""GBRA"",""15"",""1"",""53251"""</f>
        <v>"Mission ERP","GBRA","15","1","53251"</v>
      </c>
      <c r="E473" t="str">
        <f>"53251"</f>
        <v>53251</v>
      </c>
      <c r="F473" t="str">
        <f>"M&amp;R-PARK STRUCTURES"</f>
        <v>M&amp;R-PARK STRUCTURES</v>
      </c>
      <c r="I473" s="8">
        <v>12000</v>
      </c>
      <c r="J473" s="8"/>
      <c r="K473" s="8">
        <v>54800</v>
      </c>
      <c r="L473" s="8"/>
      <c r="M473" s="8">
        <f t="shared" si="121"/>
        <v>42800</v>
      </c>
      <c r="P473">
        <f t="shared" si="122"/>
        <v>1</v>
      </c>
      <c r="Q473">
        <f t="shared" si="123"/>
        <v>1</v>
      </c>
      <c r="R473">
        <f t="shared" si="124"/>
        <v>2</v>
      </c>
    </row>
    <row r="474" spans="1:18" hidden="1">
      <c r="B474" t="s">
        <v>16</v>
      </c>
      <c r="I474" s="9"/>
      <c r="J474" s="8"/>
      <c r="K474" s="9"/>
      <c r="L474" s="8"/>
      <c r="M474" s="9"/>
    </row>
    <row r="475" spans="1:18">
      <c r="B475" t="str">
        <f>IF(R475=0,"HIDE","SHOW")</f>
        <v>SHOW</v>
      </c>
      <c r="F475" s="3" t="str">
        <f>CONCATENATE("Total ",F457)</f>
        <v>Total Structures</v>
      </c>
      <c r="I475" s="10">
        <f>SUM(I458:I474)</f>
        <v>3063176</v>
      </c>
      <c r="J475" s="11"/>
      <c r="K475" s="10">
        <f>SUM(K458:K474)</f>
        <v>3402704</v>
      </c>
      <c r="L475" s="11"/>
      <c r="M475" s="10">
        <f>K475-I475</f>
        <v>339528</v>
      </c>
      <c r="P475">
        <f>IF(I475=0,0,1)</f>
        <v>1</v>
      </c>
      <c r="Q475">
        <f>IF(K475=0,0,1)</f>
        <v>1</v>
      </c>
      <c r="R475">
        <f>P475+Q475</f>
        <v>2</v>
      </c>
    </row>
    <row r="476" spans="1:18">
      <c r="B476" t="str">
        <f>B475</f>
        <v>SHOW</v>
      </c>
      <c r="I476" s="8"/>
      <c r="J476" s="8"/>
      <c r="K476" s="8"/>
      <c r="L476" s="8"/>
      <c r="M476" s="8"/>
    </row>
    <row r="477" spans="1:18">
      <c r="B477" t="str">
        <f>B488</f>
        <v>SHOW</v>
      </c>
      <c r="C477">
        <v>53300</v>
      </c>
      <c r="F477" s="3" t="str">
        <f>"Other Maintenance &amp; Repairs"</f>
        <v>Other Maintenance &amp; Repairs</v>
      </c>
      <c r="I477" s="8"/>
      <c r="J477" s="8"/>
      <c r="K477" s="8"/>
      <c r="L477" s="8"/>
      <c r="M477" s="8"/>
    </row>
    <row r="478" spans="1:18">
      <c r="B478" t="str">
        <f>IF(R478=0,"HIDE","SHOW")</f>
        <v>SHOW</v>
      </c>
      <c r="C478" t="s">
        <v>57</v>
      </c>
      <c r="D478" t="str">
        <f>"""Mission ERP"",""GBRA"",""15"",""1"",""53301"""</f>
        <v>"Mission ERP","GBRA","15","1","53301"</v>
      </c>
      <c r="E478" t="str">
        <f>"53301"</f>
        <v>53301</v>
      </c>
      <c r="F478" t="str">
        <f>"M&amp;R-ROADS"</f>
        <v>M&amp;R-ROADS</v>
      </c>
      <c r="I478" s="8">
        <v>292500</v>
      </c>
      <c r="J478" s="8"/>
      <c r="K478" s="8">
        <v>277000</v>
      </c>
      <c r="L478" s="8"/>
      <c r="M478" s="8">
        <f>K478-I478</f>
        <v>-15500</v>
      </c>
      <c r="P478">
        <f>IF(I478=0,0,1)</f>
        <v>1</v>
      </c>
      <c r="Q478">
        <f>IF(K478=0,0,1)</f>
        <v>1</v>
      </c>
      <c r="R478">
        <f>P478+Q478</f>
        <v>2</v>
      </c>
    </row>
    <row r="479" spans="1:18">
      <c r="A479" t="s">
        <v>26</v>
      </c>
      <c r="B479" t="str">
        <f t="shared" ref="B479:B486" si="125">IF(R479=0,"HIDE","SHOW")</f>
        <v>SHOW</v>
      </c>
      <c r="C479" t="s">
        <v>57</v>
      </c>
      <c r="D479" t="str">
        <f>"""Mission ERP"",""GBRA"",""15"",""1"",""53302"""</f>
        <v>"Mission ERP","GBRA","15","1","53302"</v>
      </c>
      <c r="E479" t="str">
        <f>"53302"</f>
        <v>53302</v>
      </c>
      <c r="F479" t="str">
        <f>"M&amp;R-WELLS"</f>
        <v>M&amp;R-WELLS</v>
      </c>
      <c r="I479" s="8">
        <v>165000</v>
      </c>
      <c r="J479" s="8"/>
      <c r="K479" s="8">
        <v>175000</v>
      </c>
      <c r="L479" s="8"/>
      <c r="M479" s="8">
        <f t="shared" ref="M479:M486" si="126">K479-I479</f>
        <v>10000</v>
      </c>
      <c r="P479">
        <f t="shared" ref="P479:P486" si="127">IF(I479=0,0,1)</f>
        <v>1</v>
      </c>
      <c r="Q479">
        <f t="shared" ref="Q479:Q486" si="128">IF(K479=0,0,1)</f>
        <v>1</v>
      </c>
      <c r="R479">
        <f t="shared" ref="R479:R486" si="129">P479+Q479</f>
        <v>2</v>
      </c>
    </row>
    <row r="480" spans="1:18" hidden="1">
      <c r="A480" t="s">
        <v>26</v>
      </c>
      <c r="B480" t="str">
        <f t="shared" si="125"/>
        <v>HIDE</v>
      </c>
      <c r="C480" t="s">
        <v>57</v>
      </c>
      <c r="D480" t="str">
        <f>"""Mission ERP"",""GBRA"",""15"",""1"",""53305"""</f>
        <v>"Mission ERP","GBRA","15","1","53305"</v>
      </c>
      <c r="E480" t="str">
        <f>"53305"</f>
        <v>53305</v>
      </c>
      <c r="F480" t="str">
        <f>"OLD-DO NOT USE, M&amp;R-RIGHT OF WAY"</f>
        <v>OLD-DO NOT USE, M&amp;R-RIGHT OF WAY</v>
      </c>
      <c r="I480" s="8">
        <v>0</v>
      </c>
      <c r="J480" s="8"/>
      <c r="K480" s="8">
        <v>0</v>
      </c>
      <c r="L480" s="8"/>
      <c r="M480" s="8">
        <f t="shared" si="126"/>
        <v>0</v>
      </c>
      <c r="P480">
        <f t="shared" si="127"/>
        <v>0</v>
      </c>
      <c r="Q480">
        <f t="shared" si="128"/>
        <v>0</v>
      </c>
      <c r="R480">
        <f t="shared" si="129"/>
        <v>0</v>
      </c>
    </row>
    <row r="481" spans="1:19">
      <c r="A481" t="s">
        <v>26</v>
      </c>
      <c r="B481" t="str">
        <f t="shared" si="125"/>
        <v>SHOW</v>
      </c>
      <c r="C481" t="s">
        <v>57</v>
      </c>
      <c r="D481" t="str">
        <f>"""Mission ERP"",""GBRA"",""15"",""1"",""53310"""</f>
        <v>"Mission ERP","GBRA","15","1","53310"</v>
      </c>
      <c r="E481" t="str">
        <f>"53310"</f>
        <v>53310</v>
      </c>
      <c r="F481" t="str">
        <f>"M&amp;R-GROUNDS/ROW"</f>
        <v>M&amp;R-GROUNDS/ROW</v>
      </c>
      <c r="I481" s="8">
        <v>384260</v>
      </c>
      <c r="J481" s="8"/>
      <c r="K481" s="8">
        <v>537060</v>
      </c>
      <c r="L481" s="8"/>
      <c r="M481" s="8">
        <f t="shared" si="126"/>
        <v>152800</v>
      </c>
      <c r="P481">
        <f t="shared" si="127"/>
        <v>1</v>
      </c>
      <c r="Q481">
        <f t="shared" si="128"/>
        <v>1</v>
      </c>
      <c r="R481">
        <f t="shared" si="129"/>
        <v>2</v>
      </c>
    </row>
    <row r="482" spans="1:19">
      <c r="A482" t="s">
        <v>26</v>
      </c>
      <c r="B482" t="str">
        <f t="shared" si="125"/>
        <v>SHOW</v>
      </c>
      <c r="C482" t="s">
        <v>57</v>
      </c>
      <c r="D482" t="str">
        <f>"""Mission ERP"",""GBRA"",""15"",""1"",""53315"""</f>
        <v>"Mission ERP","GBRA","15","1","53315"</v>
      </c>
      <c r="E482" t="str">
        <f>"53315"</f>
        <v>53315</v>
      </c>
      <c r="F482" t="str">
        <f>"M&amp;R-CAMP AND PICNIC SITES"</f>
        <v>M&amp;R-CAMP AND PICNIC SITES</v>
      </c>
      <c r="I482" s="8">
        <v>32000</v>
      </c>
      <c r="J482" s="8"/>
      <c r="K482" s="8">
        <v>35000</v>
      </c>
      <c r="L482" s="8"/>
      <c r="M482" s="8">
        <f t="shared" si="126"/>
        <v>3000</v>
      </c>
      <c r="P482">
        <f t="shared" si="127"/>
        <v>1</v>
      </c>
      <c r="Q482">
        <f t="shared" si="128"/>
        <v>1</v>
      </c>
      <c r="R482">
        <f t="shared" si="129"/>
        <v>2</v>
      </c>
    </row>
    <row r="483" spans="1:19">
      <c r="A483" t="s">
        <v>26</v>
      </c>
      <c r="B483" t="str">
        <f t="shared" si="125"/>
        <v>SHOW</v>
      </c>
      <c r="C483" t="s">
        <v>57</v>
      </c>
      <c r="D483" t="str">
        <f>"""Mission ERP"",""GBRA"",""15"",""1"",""53320"""</f>
        <v>"Mission ERP","GBRA","15","1","53320"</v>
      </c>
      <c r="E483" t="str">
        <f>"53320"</f>
        <v>53320</v>
      </c>
      <c r="F483" t="str">
        <f>"M&amp;R-PONDS AND LAGOONS"</f>
        <v>M&amp;R-PONDS AND LAGOONS</v>
      </c>
      <c r="I483" s="8">
        <v>18000</v>
      </c>
      <c r="J483" s="8"/>
      <c r="K483" s="8">
        <v>10000</v>
      </c>
      <c r="L483" s="8"/>
      <c r="M483" s="8">
        <f t="shared" si="126"/>
        <v>-8000</v>
      </c>
      <c r="P483">
        <f t="shared" si="127"/>
        <v>1</v>
      </c>
      <c r="Q483">
        <f t="shared" si="128"/>
        <v>1</v>
      </c>
      <c r="R483">
        <f t="shared" si="129"/>
        <v>2</v>
      </c>
    </row>
    <row r="484" spans="1:19">
      <c r="A484" t="s">
        <v>26</v>
      </c>
      <c r="B484" t="str">
        <f t="shared" si="125"/>
        <v>SHOW</v>
      </c>
      <c r="C484" t="s">
        <v>57</v>
      </c>
      <c r="D484" t="str">
        <f>"""Mission ERP"",""GBRA"",""15"",""1"",""53324"""</f>
        <v>"Mission ERP","GBRA","15","1","53324"</v>
      </c>
      <c r="E484" t="str">
        <f>"53324"</f>
        <v>53324</v>
      </c>
      <c r="F484" t="str">
        <f>"M&amp;R-REMOVE LOG JAMS"</f>
        <v>M&amp;R-REMOVE LOG JAMS</v>
      </c>
      <c r="I484" s="8">
        <v>26200</v>
      </c>
      <c r="J484" s="8"/>
      <c r="K484" s="8">
        <v>26200</v>
      </c>
      <c r="L484" s="8"/>
      <c r="M484" s="8">
        <f t="shared" si="126"/>
        <v>0</v>
      </c>
      <c r="P484">
        <f t="shared" si="127"/>
        <v>1</v>
      </c>
      <c r="Q484">
        <f t="shared" si="128"/>
        <v>1</v>
      </c>
      <c r="R484">
        <f t="shared" si="129"/>
        <v>2</v>
      </c>
    </row>
    <row r="485" spans="1:19">
      <c r="A485" t="s">
        <v>26</v>
      </c>
      <c r="B485" t="str">
        <f t="shared" si="125"/>
        <v>SHOW</v>
      </c>
      <c r="C485" t="s">
        <v>57</v>
      </c>
      <c r="D485" t="str">
        <f>"""Mission ERP"",""GBRA"",""15"",""1"",""53325"""</f>
        <v>"Mission ERP","GBRA","15","1","53325"</v>
      </c>
      <c r="E485" t="str">
        <f>"53325"</f>
        <v>53325</v>
      </c>
      <c r="F485" t="str">
        <f>"M&amp;R-GENERAL MAINTENANCE"</f>
        <v>M&amp;R-GENERAL MAINTENANCE</v>
      </c>
      <c r="I485" s="8">
        <v>732100</v>
      </c>
      <c r="J485" s="8"/>
      <c r="K485" s="8">
        <v>970000</v>
      </c>
      <c r="L485" s="8"/>
      <c r="M485" s="8">
        <f t="shared" si="126"/>
        <v>237900</v>
      </c>
      <c r="P485">
        <f t="shared" si="127"/>
        <v>1</v>
      </c>
      <c r="Q485">
        <f t="shared" si="128"/>
        <v>1</v>
      </c>
      <c r="R485">
        <f t="shared" si="129"/>
        <v>2</v>
      </c>
    </row>
    <row r="486" spans="1:19">
      <c r="A486" t="s">
        <v>26</v>
      </c>
      <c r="B486" t="str">
        <f t="shared" si="125"/>
        <v>SHOW</v>
      </c>
      <c r="C486" t="s">
        <v>57</v>
      </c>
      <c r="D486" t="str">
        <f>"""Mission ERP"",""GBRA"",""15"",""1"",""53399"""</f>
        <v>"Mission ERP","GBRA","15","1","53399"</v>
      </c>
      <c r="E486" t="str">
        <f>"53399"</f>
        <v>53399</v>
      </c>
      <c r="F486" t="str">
        <f>"M&amp;R-MISC EXPENSE"</f>
        <v>M&amp;R-MISC EXPENSE</v>
      </c>
      <c r="I486" s="8">
        <v>19500</v>
      </c>
      <c r="J486" s="8"/>
      <c r="K486" s="8">
        <v>40000</v>
      </c>
      <c r="L486" s="8"/>
      <c r="M486" s="8">
        <f t="shared" si="126"/>
        <v>20500</v>
      </c>
      <c r="P486">
        <f t="shared" si="127"/>
        <v>1</v>
      </c>
      <c r="Q486">
        <f t="shared" si="128"/>
        <v>1</v>
      </c>
      <c r="R486">
        <f t="shared" si="129"/>
        <v>2</v>
      </c>
    </row>
    <row r="487" spans="1:19" hidden="1">
      <c r="B487" t="s">
        <v>16</v>
      </c>
      <c r="I487" s="9"/>
      <c r="J487" s="8"/>
      <c r="K487" s="9"/>
      <c r="L487" s="8"/>
      <c r="M487" s="9"/>
    </row>
    <row r="488" spans="1:19">
      <c r="B488" t="str">
        <f>IF(R488=0,"HIDE","SHOW")</f>
        <v>SHOW</v>
      </c>
      <c r="F488" s="3" t="str">
        <f>CONCATENATE("Total ",F477)</f>
        <v>Total Other Maintenance &amp; Repairs</v>
      </c>
      <c r="I488" s="10">
        <f>SUM(I478:I487)</f>
        <v>1669560</v>
      </c>
      <c r="J488" s="11"/>
      <c r="K488" s="10">
        <f>SUM(K478:K487)</f>
        <v>2070260</v>
      </c>
      <c r="L488" s="11"/>
      <c r="M488" s="10">
        <f>K488-I488</f>
        <v>400700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9">
      <c r="B489" t="str">
        <f>B488</f>
        <v>SHOW</v>
      </c>
      <c r="I489" s="8"/>
      <c r="J489" s="8"/>
      <c r="K489" s="8"/>
      <c r="L489" s="8"/>
      <c r="M489" s="8"/>
    </row>
    <row r="490" spans="1:19">
      <c r="B490" t="str">
        <f>IF(R490=0,"HIDE","SHOW")</f>
        <v>SHOW</v>
      </c>
      <c r="F490" s="3" t="s">
        <v>58</v>
      </c>
      <c r="G490" s="3"/>
      <c r="H490" s="3"/>
      <c r="I490" s="15">
        <f>I488+I475+I455</f>
        <v>5689936</v>
      </c>
      <c r="J490" s="11"/>
      <c r="K490" s="15">
        <f>K488+K475+K455</f>
        <v>6768861</v>
      </c>
      <c r="L490" s="11"/>
      <c r="M490" s="15">
        <f>K490-I490</f>
        <v>1078925</v>
      </c>
      <c r="P490">
        <f>IF(I490=0,0,1)</f>
        <v>1</v>
      </c>
      <c r="Q490">
        <f>IF(K490=0,0,1)</f>
        <v>1</v>
      </c>
      <c r="R490">
        <f>P490+Q490</f>
        <v>2</v>
      </c>
      <c r="S490" s="17"/>
    </row>
    <row r="491" spans="1:19">
      <c r="I491" s="8"/>
      <c r="J491" s="8"/>
      <c r="K491" s="8"/>
      <c r="L491" s="8"/>
      <c r="M491" s="8"/>
    </row>
    <row r="492" spans="1:19">
      <c r="B492" t="str">
        <f>B495</f>
        <v>SHOW</v>
      </c>
      <c r="C492">
        <v>54000</v>
      </c>
      <c r="F492" s="3" t="str">
        <f>"Administrative &amp; General"</f>
        <v>Administrative &amp; General</v>
      </c>
      <c r="I492" s="8"/>
      <c r="J492" s="8"/>
      <c r="K492" s="8"/>
      <c r="L492" s="8"/>
      <c r="M492" s="8"/>
    </row>
    <row r="493" spans="1:19">
      <c r="B493" t="str">
        <f>IF(R493=0,"HIDE","SHOW")</f>
        <v>SHOW</v>
      </c>
      <c r="C493" t="s">
        <v>59</v>
      </c>
      <c r="D493" t="str">
        <f>"""Mission ERP"",""GBRA"",""15"",""1"",""54100"""</f>
        <v>"Mission ERP","GBRA","15","1","54100"</v>
      </c>
      <c r="E493" t="str">
        <f>"54100"</f>
        <v>54100</v>
      </c>
      <c r="F493" t="str">
        <f>"ADMINISTRATIVE &amp; GENERAL"</f>
        <v>ADMINISTRATIVE &amp; GENERAL</v>
      </c>
      <c r="I493" s="8">
        <v>5261882</v>
      </c>
      <c r="J493" s="8"/>
      <c r="K493" s="8">
        <v>5898516</v>
      </c>
      <c r="L493" s="8"/>
      <c r="M493" s="8">
        <f>K493-I493</f>
        <v>636634</v>
      </c>
      <c r="P493">
        <f>IF(I493=0,0,1)</f>
        <v>1</v>
      </c>
      <c r="Q493">
        <f>IF(K493=0,0,1)</f>
        <v>1</v>
      </c>
      <c r="R493">
        <f>P493+Q493</f>
        <v>2</v>
      </c>
    </row>
    <row r="494" spans="1:19" hidden="1">
      <c r="B494" t="s">
        <v>16</v>
      </c>
      <c r="I494" s="9"/>
      <c r="J494" s="8"/>
      <c r="K494" s="9"/>
      <c r="L494" s="8"/>
      <c r="M494" s="9"/>
    </row>
    <row r="495" spans="1:19">
      <c r="B495" t="str">
        <f>IF(R495=0,"HIDE","SHOW")</f>
        <v>SHOW</v>
      </c>
      <c r="F495" s="3" t="str">
        <f>CONCATENATE("Total ",F492)</f>
        <v>Total Administrative &amp; General</v>
      </c>
      <c r="I495" s="10">
        <f>SUM(I493:I494)</f>
        <v>5261882</v>
      </c>
      <c r="J495" s="11"/>
      <c r="K495" s="10">
        <f>SUM(K493:K494)</f>
        <v>5898516</v>
      </c>
      <c r="L495" s="11"/>
      <c r="M495" s="10">
        <f>K495-I495</f>
        <v>636634</v>
      </c>
      <c r="P495">
        <f>IF(I495=0,0,1)</f>
        <v>1</v>
      </c>
      <c r="Q495">
        <f>IF(K495=0,0,1)</f>
        <v>1</v>
      </c>
      <c r="R495">
        <f>P495+Q495</f>
        <v>2</v>
      </c>
    </row>
    <row r="496" spans="1:19">
      <c r="B496" t="str">
        <f>B495</f>
        <v>SHOW</v>
      </c>
      <c r="I496" s="8"/>
      <c r="J496" s="8"/>
      <c r="K496" s="8"/>
      <c r="L496" s="8"/>
      <c r="M496" s="8"/>
    </row>
    <row r="497" spans="1:18">
      <c r="B497" t="str">
        <f>B501</f>
        <v>SHOW</v>
      </c>
      <c r="C497">
        <v>55000</v>
      </c>
      <c r="F497" s="3" t="str">
        <f>"Capital Expenses"</f>
        <v>Capital Expenses</v>
      </c>
      <c r="I497" s="8"/>
      <c r="J497" s="8"/>
      <c r="K497" s="8"/>
      <c r="L497" s="8"/>
      <c r="M497" s="8"/>
    </row>
    <row r="498" spans="1:18">
      <c r="B498" t="str">
        <f>IF(R498=0,"HIDE","SHOW")</f>
        <v>SHOW</v>
      </c>
      <c r="C498" t="s">
        <v>60</v>
      </c>
      <c r="D498" t="str">
        <f>"""Mission ERP"",""GBRA"",""15"",""1"",""55001"""</f>
        <v>"Mission ERP","GBRA","15","1","55001"</v>
      </c>
      <c r="E498" t="str">
        <f>"55001"</f>
        <v>55001</v>
      </c>
      <c r="F498" t="str">
        <f>"CUSTOMER-OWNED CAPITAL EXPENSE"</f>
        <v>CUSTOMER-OWNED CAPITAL EXPENSE</v>
      </c>
      <c r="I498" s="8">
        <v>399300</v>
      </c>
      <c r="J498" s="8"/>
      <c r="K498" s="8">
        <v>601900</v>
      </c>
      <c r="L498" s="8"/>
      <c r="M498" s="8">
        <f>K498-I498</f>
        <v>202600</v>
      </c>
      <c r="P498">
        <f>IF(I498=0,0,1)</f>
        <v>1</v>
      </c>
      <c r="Q498">
        <f>IF(K498=0,0,1)</f>
        <v>1</v>
      </c>
      <c r="R498">
        <f>P498+Q498</f>
        <v>2</v>
      </c>
    </row>
    <row r="499" spans="1:18" hidden="1">
      <c r="A499" t="s">
        <v>26</v>
      </c>
      <c r="B499" t="str">
        <f>IF(R499=0,"HIDE","SHOW")</f>
        <v>HIDE</v>
      </c>
      <c r="C499" t="s">
        <v>60</v>
      </c>
      <c r="D499" t="str">
        <f>"""Mission ERP"",""GBRA"",""15"",""1"",""55002"""</f>
        <v>"Mission ERP","GBRA","15","1","55002"</v>
      </c>
      <c r="E499" t="str">
        <f>"55002"</f>
        <v>55002</v>
      </c>
      <c r="F499" t="str">
        <f>"OLD-DO NOT USE, GBRA-OWNED CAPITAL EXPENSE"</f>
        <v>OLD-DO NOT USE, GBRA-OWNED CAPITAL EXPENSE</v>
      </c>
      <c r="I499" s="8">
        <v>0</v>
      </c>
      <c r="J499" s="8"/>
      <c r="K499" s="8">
        <v>0</v>
      </c>
      <c r="L499" s="8"/>
      <c r="M499" s="8">
        <f>K499-I499</f>
        <v>0</v>
      </c>
      <c r="P499">
        <f>IF(I499=0,0,1)</f>
        <v>0</v>
      </c>
      <c r="Q499">
        <f>IF(K499=0,0,1)</f>
        <v>0</v>
      </c>
      <c r="R499">
        <f>P499+Q499</f>
        <v>0</v>
      </c>
    </row>
    <row r="500" spans="1:18" hidden="1">
      <c r="B500" t="s">
        <v>16</v>
      </c>
      <c r="I500" s="9"/>
      <c r="J500" s="8"/>
      <c r="K500" s="9"/>
      <c r="L500" s="8"/>
      <c r="M500" s="9"/>
    </row>
    <row r="501" spans="1:18">
      <c r="B501" t="str">
        <f>IF(R501=0,"HIDE","SHOW")</f>
        <v>SHOW</v>
      </c>
      <c r="F501" s="3" t="str">
        <f>CONCATENATE("Total ",F497)</f>
        <v>Total Capital Expenses</v>
      </c>
      <c r="I501" s="10">
        <f>SUM(I498:I500)</f>
        <v>399300</v>
      </c>
      <c r="J501" s="11"/>
      <c r="K501" s="10">
        <f>SUM(K498:K500)</f>
        <v>601900</v>
      </c>
      <c r="L501" s="11"/>
      <c r="M501" s="10">
        <f>K501-I501</f>
        <v>202600</v>
      </c>
      <c r="P501">
        <f>IF(I501=0,0,1)</f>
        <v>1</v>
      </c>
      <c r="Q501">
        <f>IF(K501=0,0,1)</f>
        <v>1</v>
      </c>
      <c r="R501">
        <f>P501+Q501</f>
        <v>2</v>
      </c>
    </row>
    <row r="502" spans="1:18">
      <c r="B502" t="str">
        <f>B501</f>
        <v>SHOW</v>
      </c>
      <c r="I502" s="8"/>
      <c r="J502" s="8"/>
      <c r="K502" s="8"/>
      <c r="L502" s="8"/>
      <c r="M502" s="8"/>
    </row>
    <row r="503" spans="1:18" hidden="1">
      <c r="B503" t="str">
        <f>B507</f>
        <v>HIDE</v>
      </c>
      <c r="C503">
        <v>56000</v>
      </c>
      <c r="F503" s="3" t="str">
        <f>"Depreciation &amp; Amortization"</f>
        <v>Depreciation &amp; Amortization</v>
      </c>
      <c r="I503" s="8"/>
      <c r="J503" s="8"/>
      <c r="K503" s="8"/>
      <c r="L503" s="8"/>
      <c r="M503" s="8"/>
    </row>
    <row r="504" spans="1:18" hidden="1">
      <c r="B504" t="str">
        <f>IF(R504=0,"HIDE","SHOW")</f>
        <v>HIDE</v>
      </c>
      <c r="C504" t="s">
        <v>61</v>
      </c>
      <c r="D504" t="str">
        <f>"""Mission ERP"",""GBRA"",""15"",""1"",""56101"""</f>
        <v>"Mission ERP","GBRA","15","1","56101"</v>
      </c>
      <c r="E504" t="str">
        <f>"56101"</f>
        <v>56101</v>
      </c>
      <c r="F504" t="str">
        <f>"DEPRECIATION EXPENSE"</f>
        <v>DEPRECIATION EXPENSE</v>
      </c>
      <c r="I504" s="8">
        <v>0</v>
      </c>
      <c r="J504" s="8"/>
      <c r="K504" s="8">
        <v>0</v>
      </c>
      <c r="L504" s="8"/>
      <c r="M504" s="8">
        <f>K504-I504</f>
        <v>0</v>
      </c>
      <c r="P504">
        <f>IF(I504=0,0,1)</f>
        <v>0</v>
      </c>
      <c r="Q504">
        <f>IF(K504=0,0,1)</f>
        <v>0</v>
      </c>
      <c r="R504">
        <f>P504+Q504</f>
        <v>0</v>
      </c>
    </row>
    <row r="505" spans="1:18" hidden="1">
      <c r="A505" t="s">
        <v>26</v>
      </c>
      <c r="B505" t="str">
        <f>IF(R505=0,"HIDE","SHOW")</f>
        <v>HIDE</v>
      </c>
      <c r="C505" t="s">
        <v>61</v>
      </c>
      <c r="D505" t="str">
        <f>"""Mission ERP"",""GBRA"",""15"",""1"",""56198"""</f>
        <v>"Mission ERP","GBRA","15","1","56198"</v>
      </c>
      <c r="E505" t="str">
        <f>"56198"</f>
        <v>56198</v>
      </c>
      <c r="F505" t="str">
        <f>"GAIN/LOSS ON SALE OF ASSET"</f>
        <v>GAIN/LOSS ON SALE OF ASSET</v>
      </c>
      <c r="I505" s="8">
        <v>0</v>
      </c>
      <c r="J505" s="8"/>
      <c r="K505" s="8">
        <v>0</v>
      </c>
      <c r="L505" s="8"/>
      <c r="M505" s="8">
        <f>K505-I505</f>
        <v>0</v>
      </c>
      <c r="P505">
        <f>IF(I505=0,0,1)</f>
        <v>0</v>
      </c>
      <c r="Q505">
        <f>IF(K505=0,0,1)</f>
        <v>0</v>
      </c>
      <c r="R505">
        <f>P505+Q505</f>
        <v>0</v>
      </c>
    </row>
    <row r="506" spans="1:18" hidden="1">
      <c r="B506" t="s">
        <v>16</v>
      </c>
      <c r="I506" s="9"/>
      <c r="J506" s="8"/>
      <c r="K506" s="9"/>
      <c r="L506" s="8"/>
      <c r="M506" s="9"/>
    </row>
    <row r="507" spans="1:18" hidden="1">
      <c r="B507" t="str">
        <f>IF(R507=0,"HIDE","SHOW")</f>
        <v>HIDE</v>
      </c>
      <c r="F507" s="3" t="str">
        <f>CONCATENATE("Total ",F503)</f>
        <v>Total Depreciation &amp; Amortization</v>
      </c>
      <c r="I507" s="10">
        <f>SUM(I504:I506)</f>
        <v>0</v>
      </c>
      <c r="J507" s="11"/>
      <c r="K507" s="10">
        <f>SUM(K504:K506)</f>
        <v>0</v>
      </c>
      <c r="L507" s="11"/>
      <c r="M507" s="10">
        <f>K507-I507</f>
        <v>0</v>
      </c>
      <c r="P507">
        <f>IF(I507=0,0,1)</f>
        <v>0</v>
      </c>
      <c r="Q507">
        <f>IF(K507=0,0,1)</f>
        <v>0</v>
      </c>
      <c r="R507">
        <f>P507+Q507</f>
        <v>0</v>
      </c>
    </row>
    <row r="508" spans="1:18" hidden="1">
      <c r="B508" t="str">
        <f>B507</f>
        <v>HIDE</v>
      </c>
      <c r="I508" s="8"/>
      <c r="J508" s="8"/>
      <c r="K508" s="8"/>
      <c r="L508" s="8"/>
      <c r="M508" s="8"/>
    </row>
    <row r="509" spans="1:18">
      <c r="B509" t="str">
        <f>B532</f>
        <v>SHOW</v>
      </c>
      <c r="C509">
        <v>61100</v>
      </c>
      <c r="F509" s="3" t="str">
        <f>"Capital Outlay"</f>
        <v>Capital Outlay</v>
      </c>
      <c r="I509" s="8"/>
      <c r="J509" s="8"/>
      <c r="K509" s="8"/>
      <c r="L509" s="8"/>
      <c r="M509" s="8"/>
    </row>
    <row r="510" spans="1:18">
      <c r="B510" t="str">
        <f>IF(R510=0,"HIDE","SHOW")</f>
        <v>SHOW</v>
      </c>
      <c r="C510" t="s">
        <v>62</v>
      </c>
      <c r="D510" t="str">
        <f>"""Mission ERP"",""GBRA"",""15"",""1"",""13201"""</f>
        <v>"Mission ERP","GBRA","15","1","13201"</v>
      </c>
      <c r="E510" t="str">
        <f>"13201"</f>
        <v>13201</v>
      </c>
      <c r="F510" t="str">
        <f>"STRUCTURES &amp; IMPROVEMENTS"</f>
        <v>STRUCTURES &amp; IMPROVEMENTS</v>
      </c>
      <c r="I510" s="8">
        <v>150000</v>
      </c>
      <c r="J510" s="8"/>
      <c r="K510" s="8">
        <v>0</v>
      </c>
      <c r="L510" s="8"/>
      <c r="M510" s="8">
        <f>K510-I510</f>
        <v>-150000</v>
      </c>
      <c r="P510">
        <f>IF(I510=0,0,1)</f>
        <v>1</v>
      </c>
      <c r="Q510">
        <f>IF(K510=0,0,1)</f>
        <v>0</v>
      </c>
      <c r="R510">
        <f>P510+Q510</f>
        <v>1</v>
      </c>
    </row>
    <row r="511" spans="1:18" hidden="1">
      <c r="A511" t="s">
        <v>26</v>
      </c>
      <c r="B511" t="str">
        <f t="shared" ref="B511:B530" si="130">IF(R511=0,"HIDE","SHOW")</f>
        <v>HIDE</v>
      </c>
      <c r="C511" t="s">
        <v>62</v>
      </c>
      <c r="D511" t="str">
        <f>"""Mission ERP"",""GBRA"",""15"",""1"",""13202"""</f>
        <v>"Mission ERP","GBRA","15","1","13202"</v>
      </c>
      <c r="E511" t="str">
        <f>"13202"</f>
        <v>13202</v>
      </c>
      <c r="F511" t="str">
        <f>"NOLTE ISLAND STRUCTURE"</f>
        <v>NOLTE ISLAND STRUCTURE</v>
      </c>
      <c r="I511" s="8">
        <v>0</v>
      </c>
      <c r="J511" s="8"/>
      <c r="K511" s="8">
        <v>0</v>
      </c>
      <c r="L511" s="8"/>
      <c r="M511" s="8">
        <f t="shared" ref="M511:M530" si="131">K511-I511</f>
        <v>0</v>
      </c>
      <c r="P511">
        <f t="shared" ref="P511:P530" si="132">IF(I511=0,0,1)</f>
        <v>0</v>
      </c>
      <c r="Q511">
        <f t="shared" ref="Q511:Q530" si="133">IF(K511=0,0,1)</f>
        <v>0</v>
      </c>
      <c r="R511">
        <f t="shared" ref="R511:R530" si="134">P511+Q511</f>
        <v>0</v>
      </c>
    </row>
    <row r="512" spans="1:18" hidden="1">
      <c r="A512" t="s">
        <v>26</v>
      </c>
      <c r="B512" t="str">
        <f t="shared" si="130"/>
        <v>HIDE</v>
      </c>
      <c r="C512" t="s">
        <v>62</v>
      </c>
      <c r="D512" t="str">
        <f>"""Mission ERP"",""GBRA"",""15"",""1"",""13203"""</f>
        <v>"Mission ERP","GBRA","15","1","13203"</v>
      </c>
      <c r="E512" t="str">
        <f>"13203"</f>
        <v>13203</v>
      </c>
      <c r="F512" t="str">
        <f>"GOV IRELAND STRUCTURE"</f>
        <v>GOV IRELAND STRUCTURE</v>
      </c>
      <c r="I512" s="8">
        <v>0</v>
      </c>
      <c r="J512" s="8"/>
      <c r="K512" s="8">
        <v>0</v>
      </c>
      <c r="L512" s="8"/>
      <c r="M512" s="8">
        <f t="shared" si="131"/>
        <v>0</v>
      </c>
      <c r="P512">
        <f t="shared" si="132"/>
        <v>0</v>
      </c>
      <c r="Q512">
        <f t="shared" si="133"/>
        <v>0</v>
      </c>
      <c r="R512">
        <f t="shared" si="134"/>
        <v>0</v>
      </c>
    </row>
    <row r="513" spans="1:18" hidden="1">
      <c r="A513" t="s">
        <v>26</v>
      </c>
      <c r="B513" t="str">
        <f t="shared" si="130"/>
        <v>HIDE</v>
      </c>
      <c r="C513" t="s">
        <v>62</v>
      </c>
      <c r="D513" t="str">
        <f>"""Mission ERP"",""GBRA"",""15"",""1"",""13204"""</f>
        <v>"Mission ERP","GBRA","15","1","13204"</v>
      </c>
      <c r="E513" t="str">
        <f>"13204"</f>
        <v>13204</v>
      </c>
      <c r="F513" t="str">
        <f>"MEADOW LAKE STRUCTURE"</f>
        <v>MEADOW LAKE STRUCTURE</v>
      </c>
      <c r="I513" s="8">
        <v>0</v>
      </c>
      <c r="J513" s="8"/>
      <c r="K513" s="8">
        <v>0</v>
      </c>
      <c r="L513" s="8"/>
      <c r="M513" s="8">
        <f t="shared" si="131"/>
        <v>0</v>
      </c>
      <c r="P513">
        <f t="shared" si="132"/>
        <v>0</v>
      </c>
      <c r="Q513">
        <f t="shared" si="133"/>
        <v>0</v>
      </c>
      <c r="R513">
        <f t="shared" si="134"/>
        <v>0</v>
      </c>
    </row>
    <row r="514" spans="1:18" hidden="1">
      <c r="A514" t="s">
        <v>26</v>
      </c>
      <c r="B514" t="str">
        <f t="shared" si="130"/>
        <v>HIDE</v>
      </c>
      <c r="C514" t="s">
        <v>62</v>
      </c>
      <c r="D514" t="str">
        <f>"""Mission ERP"",""GBRA"",""15"",""1"",""13205"""</f>
        <v>"Mission ERP","GBRA","15","1","13205"</v>
      </c>
      <c r="E514" t="str">
        <f>"13205"</f>
        <v>13205</v>
      </c>
      <c r="F514" t="str">
        <f>"LAKEWOOD STRUCTURE"</f>
        <v>LAKEWOOD STRUCTURE</v>
      </c>
      <c r="I514" s="8">
        <v>0</v>
      </c>
      <c r="J514" s="8"/>
      <c r="K514" s="8">
        <v>0</v>
      </c>
      <c r="L514" s="8"/>
      <c r="M514" s="8">
        <f t="shared" si="131"/>
        <v>0</v>
      </c>
      <c r="P514">
        <f t="shared" si="132"/>
        <v>0</v>
      </c>
      <c r="Q514">
        <f t="shared" si="133"/>
        <v>0</v>
      </c>
      <c r="R514">
        <f t="shared" si="134"/>
        <v>0</v>
      </c>
    </row>
    <row r="515" spans="1:18" hidden="1">
      <c r="A515" t="s">
        <v>26</v>
      </c>
      <c r="B515" t="str">
        <f t="shared" si="130"/>
        <v>HIDE</v>
      </c>
      <c r="C515" t="s">
        <v>62</v>
      </c>
      <c r="D515" t="str">
        <f>"""Mission ERP"",""GBRA"",""15"",""1"",""13206"""</f>
        <v>"Mission ERP","GBRA","15","1","13206"</v>
      </c>
      <c r="E515" t="str">
        <f>"13206"</f>
        <v>13206</v>
      </c>
      <c r="F515" t="str">
        <f>"WESTERN CANYON PLANT"</f>
        <v>WESTERN CANYON PLANT</v>
      </c>
      <c r="I515" s="8">
        <v>0</v>
      </c>
      <c r="J515" s="8"/>
      <c r="K515" s="8">
        <v>0</v>
      </c>
      <c r="L515" s="8"/>
      <c r="M515" s="8">
        <f t="shared" si="131"/>
        <v>0</v>
      </c>
      <c r="P515">
        <f t="shared" si="132"/>
        <v>0</v>
      </c>
      <c r="Q515">
        <f t="shared" si="133"/>
        <v>0</v>
      </c>
      <c r="R515">
        <f t="shared" si="134"/>
        <v>0</v>
      </c>
    </row>
    <row r="516" spans="1:18" hidden="1">
      <c r="A516" t="s">
        <v>26</v>
      </c>
      <c r="B516" t="str">
        <f t="shared" si="130"/>
        <v>HIDE</v>
      </c>
      <c r="C516" t="s">
        <v>62</v>
      </c>
      <c r="D516" t="str">
        <f>"""Mission ERP"",""GBRA"",""15"",""1"",""13207"""</f>
        <v>"Mission ERP","GBRA","15","1","13207"</v>
      </c>
      <c r="E516" t="str">
        <f>"13207"</f>
        <v>13207</v>
      </c>
      <c r="F516" t="str">
        <f>"IH35 PIPELINE"</f>
        <v>IH35 PIPELINE</v>
      </c>
      <c r="I516" s="8">
        <v>0</v>
      </c>
      <c r="J516" s="8"/>
      <c r="K516" s="8">
        <v>0</v>
      </c>
      <c r="L516" s="8"/>
      <c r="M516" s="8">
        <f t="shared" si="131"/>
        <v>0</v>
      </c>
      <c r="P516">
        <f t="shared" si="132"/>
        <v>0</v>
      </c>
      <c r="Q516">
        <f t="shared" si="133"/>
        <v>0</v>
      </c>
      <c r="R516">
        <f t="shared" si="134"/>
        <v>0</v>
      </c>
    </row>
    <row r="517" spans="1:18" hidden="1">
      <c r="A517" t="s">
        <v>26</v>
      </c>
      <c r="B517" t="str">
        <f t="shared" si="130"/>
        <v>HIDE</v>
      </c>
      <c r="C517" t="s">
        <v>62</v>
      </c>
      <c r="D517" t="str">
        <f>"""Mission ERP"",""GBRA"",""15"",""1"",""13208"""</f>
        <v>"Mission ERP","GBRA","15","1","13208"</v>
      </c>
      <c r="E517" t="str">
        <f>"13208"</f>
        <v>13208</v>
      </c>
      <c r="F517" t="str">
        <f>"SPECIALIZED OPER EQUIPMENT"</f>
        <v>SPECIALIZED OPER EQUIPMENT</v>
      </c>
      <c r="I517" s="8">
        <v>0</v>
      </c>
      <c r="J517" s="8"/>
      <c r="K517" s="8">
        <v>0</v>
      </c>
      <c r="L517" s="8"/>
      <c r="M517" s="8">
        <f t="shared" si="131"/>
        <v>0</v>
      </c>
      <c r="P517">
        <f t="shared" si="132"/>
        <v>0</v>
      </c>
      <c r="Q517">
        <f t="shared" si="133"/>
        <v>0</v>
      </c>
      <c r="R517">
        <f t="shared" si="134"/>
        <v>0</v>
      </c>
    </row>
    <row r="518" spans="1:18" hidden="1">
      <c r="A518" t="s">
        <v>26</v>
      </c>
      <c r="B518" t="str">
        <f t="shared" si="130"/>
        <v>HIDE</v>
      </c>
      <c r="C518" t="s">
        <v>62</v>
      </c>
      <c r="D518" t="str">
        <f>"""Mission ERP"",""GBRA"",""15"",""1"",""13209"""</f>
        <v>"Mission ERP","GBRA","15","1","13209"</v>
      </c>
      <c r="E518" t="str">
        <f>"13209"</f>
        <v>13209</v>
      </c>
      <c r="F518" t="str">
        <f>"RESERVOIR, DAMS &amp; WATERWAYS"</f>
        <v>RESERVOIR, DAMS &amp; WATERWAYS</v>
      </c>
      <c r="I518" s="8">
        <v>0</v>
      </c>
      <c r="J518" s="8"/>
      <c r="K518" s="8">
        <v>0</v>
      </c>
      <c r="L518" s="8"/>
      <c r="M518" s="8">
        <f t="shared" si="131"/>
        <v>0</v>
      </c>
      <c r="P518">
        <f t="shared" si="132"/>
        <v>0</v>
      </c>
      <c r="Q518">
        <f t="shared" si="133"/>
        <v>0</v>
      </c>
      <c r="R518">
        <f t="shared" si="134"/>
        <v>0</v>
      </c>
    </row>
    <row r="519" spans="1:18" hidden="1">
      <c r="A519" t="s">
        <v>26</v>
      </c>
      <c r="B519" t="str">
        <f t="shared" si="130"/>
        <v>HIDE</v>
      </c>
      <c r="C519" t="s">
        <v>62</v>
      </c>
      <c r="D519" t="str">
        <f>"""Mission ERP"",""GBRA"",""15"",""1"",""13210"""</f>
        <v>"Mission ERP","GBRA","15","1","13210"</v>
      </c>
      <c r="E519" t="str">
        <f>"13210"</f>
        <v>13210</v>
      </c>
      <c r="F519" t="str">
        <f>"W-WHEELS, TURB &amp; GENERATORS"</f>
        <v>W-WHEELS, TURB &amp; GENERATORS</v>
      </c>
      <c r="I519" s="8">
        <v>0</v>
      </c>
      <c r="J519" s="8"/>
      <c r="K519" s="8">
        <v>0</v>
      </c>
      <c r="L519" s="8"/>
      <c r="M519" s="8">
        <f t="shared" si="131"/>
        <v>0</v>
      </c>
      <c r="P519">
        <f t="shared" si="132"/>
        <v>0</v>
      </c>
      <c r="Q519">
        <f t="shared" si="133"/>
        <v>0</v>
      </c>
      <c r="R519">
        <f t="shared" si="134"/>
        <v>0</v>
      </c>
    </row>
    <row r="520" spans="1:18" hidden="1">
      <c r="A520" t="s">
        <v>26</v>
      </c>
      <c r="B520" t="str">
        <f t="shared" si="130"/>
        <v>HIDE</v>
      </c>
      <c r="C520" t="s">
        <v>62</v>
      </c>
      <c r="D520" t="str">
        <f>"""Mission ERP"",""GBRA"",""15"",""1"",""13211"""</f>
        <v>"Mission ERP","GBRA","15","1","13211"</v>
      </c>
      <c r="E520" t="str">
        <f>"13211"</f>
        <v>13211</v>
      </c>
      <c r="F520" t="str">
        <f>"ELECTRICAL/CONTROL EQUIPMENT"</f>
        <v>ELECTRICAL/CONTROL EQUIPMENT</v>
      </c>
      <c r="I520" s="8">
        <v>0</v>
      </c>
      <c r="J520" s="8"/>
      <c r="K520" s="8">
        <v>0</v>
      </c>
      <c r="L520" s="8"/>
      <c r="M520" s="8">
        <f t="shared" si="131"/>
        <v>0</v>
      </c>
      <c r="P520">
        <f t="shared" si="132"/>
        <v>0</v>
      </c>
      <c r="Q520">
        <f t="shared" si="133"/>
        <v>0</v>
      </c>
      <c r="R520">
        <f t="shared" si="134"/>
        <v>0</v>
      </c>
    </row>
    <row r="521" spans="1:18" hidden="1">
      <c r="A521" t="s">
        <v>26</v>
      </c>
      <c r="B521" t="str">
        <f t="shared" si="130"/>
        <v>HIDE</v>
      </c>
      <c r="C521" t="s">
        <v>62</v>
      </c>
      <c r="D521" t="str">
        <f>"""Mission ERP"",""GBRA"",""15"",""1"",""13212"""</f>
        <v>"Mission ERP","GBRA","15","1","13212"</v>
      </c>
      <c r="E521" t="str">
        <f>"13212"</f>
        <v>13212</v>
      </c>
      <c r="F521" t="str">
        <f>"SUBST &amp; TRANS LINES"</f>
        <v>SUBST &amp; TRANS LINES</v>
      </c>
      <c r="I521" s="8">
        <v>0</v>
      </c>
      <c r="J521" s="8"/>
      <c r="K521" s="8">
        <v>0</v>
      </c>
      <c r="L521" s="8"/>
      <c r="M521" s="8">
        <f t="shared" si="131"/>
        <v>0</v>
      </c>
      <c r="P521">
        <f t="shared" si="132"/>
        <v>0</v>
      </c>
      <c r="Q521">
        <f t="shared" si="133"/>
        <v>0</v>
      </c>
      <c r="R521">
        <f t="shared" si="134"/>
        <v>0</v>
      </c>
    </row>
    <row r="522" spans="1:18" hidden="1">
      <c r="A522" t="s">
        <v>26</v>
      </c>
      <c r="B522" t="str">
        <f t="shared" si="130"/>
        <v>HIDE</v>
      </c>
      <c r="C522" t="s">
        <v>62</v>
      </c>
      <c r="D522" t="str">
        <f>"""Mission ERP"",""GBRA"",""15"",""1"",""13213"""</f>
        <v>"Mission ERP","GBRA","15","1","13213"</v>
      </c>
      <c r="E522" t="str">
        <f>"13213"</f>
        <v>13213</v>
      </c>
      <c r="F522" t="str">
        <f>"POLES &amp; TRANSMISSION LINE"</f>
        <v>POLES &amp; TRANSMISSION LINE</v>
      </c>
      <c r="I522" s="8">
        <v>0</v>
      </c>
      <c r="J522" s="8"/>
      <c r="K522" s="8">
        <v>0</v>
      </c>
      <c r="L522" s="8"/>
      <c r="M522" s="8">
        <f t="shared" si="131"/>
        <v>0</v>
      </c>
      <c r="P522">
        <f t="shared" si="132"/>
        <v>0</v>
      </c>
      <c r="Q522">
        <f t="shared" si="133"/>
        <v>0</v>
      </c>
      <c r="R522">
        <f t="shared" si="134"/>
        <v>0</v>
      </c>
    </row>
    <row r="523" spans="1:18" hidden="1">
      <c r="A523" t="s">
        <v>26</v>
      </c>
      <c r="B523" t="str">
        <f t="shared" si="130"/>
        <v>HIDE</v>
      </c>
      <c r="C523" t="s">
        <v>62</v>
      </c>
      <c r="D523" t="str">
        <f>"""Mission ERP"",""GBRA"",""15"",""1"",""13214"""</f>
        <v>"Mission ERP","GBRA","15","1","13214"</v>
      </c>
      <c r="E523" t="str">
        <f>"13214"</f>
        <v>13214</v>
      </c>
      <c r="F523" t="str">
        <f>"WATER METERS &amp; EQUIPMENT"</f>
        <v>WATER METERS &amp; EQUIPMENT</v>
      </c>
      <c r="I523" s="8">
        <v>0</v>
      </c>
      <c r="J523" s="8"/>
      <c r="K523" s="8">
        <v>0</v>
      </c>
      <c r="L523" s="8"/>
      <c r="M523" s="8">
        <f t="shared" si="131"/>
        <v>0</v>
      </c>
      <c r="P523">
        <f t="shared" si="132"/>
        <v>0</v>
      </c>
      <c r="Q523">
        <f t="shared" si="133"/>
        <v>0</v>
      </c>
      <c r="R523">
        <f t="shared" si="134"/>
        <v>0</v>
      </c>
    </row>
    <row r="524" spans="1:18" hidden="1">
      <c r="A524" t="s">
        <v>26</v>
      </c>
      <c r="B524" t="str">
        <f t="shared" si="130"/>
        <v>HIDE</v>
      </c>
      <c r="C524" t="s">
        <v>62</v>
      </c>
      <c r="D524" t="str">
        <f>"""Mission ERP"",""GBRA"",""15"",""1"",""13215"""</f>
        <v>"Mission ERP","GBRA","15","1","13215"</v>
      </c>
      <c r="E524" t="str">
        <f>"13215"</f>
        <v>13215</v>
      </c>
      <c r="F524" t="str">
        <f>"SHOPS &amp; STOREROOMS"</f>
        <v>SHOPS &amp; STOREROOMS</v>
      </c>
      <c r="I524" s="8">
        <v>0</v>
      </c>
      <c r="J524" s="8"/>
      <c r="K524" s="8">
        <v>0</v>
      </c>
      <c r="L524" s="8"/>
      <c r="M524" s="8">
        <f t="shared" si="131"/>
        <v>0</v>
      </c>
      <c r="P524">
        <f t="shared" si="132"/>
        <v>0</v>
      </c>
      <c r="Q524">
        <f t="shared" si="133"/>
        <v>0</v>
      </c>
      <c r="R524">
        <f t="shared" si="134"/>
        <v>0</v>
      </c>
    </row>
    <row r="525" spans="1:18" hidden="1">
      <c r="A525" t="s">
        <v>26</v>
      </c>
      <c r="B525" t="str">
        <f t="shared" si="130"/>
        <v>HIDE</v>
      </c>
      <c r="C525" t="s">
        <v>62</v>
      </c>
      <c r="D525" t="str">
        <f>"""Mission ERP"",""GBRA"",""15"",""1"",""13216"""</f>
        <v>"Mission ERP","GBRA","15","1","13216"</v>
      </c>
      <c r="E525" t="str">
        <f>"13216"</f>
        <v>13216</v>
      </c>
      <c r="F525" t="str">
        <f>"COMMUNICATION EQUIPMENT"</f>
        <v>COMMUNICATION EQUIPMENT</v>
      </c>
      <c r="I525" s="8">
        <v>0</v>
      </c>
      <c r="J525" s="8"/>
      <c r="K525" s="8">
        <v>0</v>
      </c>
      <c r="L525" s="8"/>
      <c r="M525" s="8">
        <f t="shared" si="131"/>
        <v>0</v>
      </c>
      <c r="P525">
        <f t="shared" si="132"/>
        <v>0</v>
      </c>
      <c r="Q525">
        <f t="shared" si="133"/>
        <v>0</v>
      </c>
      <c r="R525">
        <f t="shared" si="134"/>
        <v>0</v>
      </c>
    </row>
    <row r="526" spans="1:18">
      <c r="A526" t="s">
        <v>26</v>
      </c>
      <c r="B526" t="str">
        <f t="shared" si="130"/>
        <v>SHOW</v>
      </c>
      <c r="C526" t="s">
        <v>62</v>
      </c>
      <c r="D526" t="str">
        <f>"""Mission ERP"",""GBRA"",""15"",""1"",""13217"""</f>
        <v>"Mission ERP","GBRA","15","1","13217"</v>
      </c>
      <c r="E526" t="str">
        <f>"13217"</f>
        <v>13217</v>
      </c>
      <c r="F526" t="str">
        <f>"AUTO &amp; HEAVY EQUIPMENT"</f>
        <v>AUTO &amp; HEAVY EQUIPMENT</v>
      </c>
      <c r="I526" s="8">
        <v>207000</v>
      </c>
      <c r="J526" s="8"/>
      <c r="K526" s="8">
        <v>462000</v>
      </c>
      <c r="L526" s="8"/>
      <c r="M526" s="8">
        <f t="shared" si="131"/>
        <v>255000</v>
      </c>
      <c r="P526">
        <f t="shared" si="132"/>
        <v>1</v>
      </c>
      <c r="Q526">
        <f t="shared" si="133"/>
        <v>1</v>
      </c>
      <c r="R526">
        <f t="shared" si="134"/>
        <v>2</v>
      </c>
    </row>
    <row r="527" spans="1:18">
      <c r="A527" t="s">
        <v>26</v>
      </c>
      <c r="B527" t="str">
        <f t="shared" si="130"/>
        <v>SHOW</v>
      </c>
      <c r="C527" t="s">
        <v>62</v>
      </c>
      <c r="D527" t="str">
        <f>"""Mission ERP"",""GBRA"",""15"",""1"",""13218"""</f>
        <v>"Mission ERP","GBRA","15","1","13218"</v>
      </c>
      <c r="E527" t="str">
        <f>"13218"</f>
        <v>13218</v>
      </c>
      <c r="F527" t="str">
        <f>"OFFICE FURNITURE &amp; EQUIP"</f>
        <v>OFFICE FURNITURE &amp; EQUIP</v>
      </c>
      <c r="I527" s="8">
        <v>18000</v>
      </c>
      <c r="J527" s="8"/>
      <c r="K527" s="8">
        <v>0</v>
      </c>
      <c r="L527" s="8"/>
      <c r="M527" s="8">
        <f t="shared" si="131"/>
        <v>-18000</v>
      </c>
      <c r="P527">
        <f t="shared" si="132"/>
        <v>1</v>
      </c>
      <c r="Q527">
        <f t="shared" si="133"/>
        <v>0</v>
      </c>
      <c r="R527">
        <f t="shared" si="134"/>
        <v>1</v>
      </c>
    </row>
    <row r="528" spans="1:18">
      <c r="A528" t="s">
        <v>26</v>
      </c>
      <c r="B528" t="str">
        <f t="shared" si="130"/>
        <v>SHOW</v>
      </c>
      <c r="C528" t="s">
        <v>62</v>
      </c>
      <c r="D528" t="str">
        <f>"""Mission ERP"",""GBRA"",""15"",""1"",""13219"""</f>
        <v>"Mission ERP","GBRA","15","1","13219"</v>
      </c>
      <c r="E528" t="str">
        <f>"13219"</f>
        <v>13219</v>
      </c>
      <c r="F528" t="str">
        <f>"MISCELLANEOUS EQUIPMENT"</f>
        <v>MISCELLANEOUS EQUIPMENT</v>
      </c>
      <c r="I528" s="8">
        <v>32000</v>
      </c>
      <c r="J528" s="8"/>
      <c r="K528" s="8">
        <v>170000</v>
      </c>
      <c r="L528" s="8"/>
      <c r="M528" s="8">
        <f t="shared" si="131"/>
        <v>138000</v>
      </c>
      <c r="P528">
        <f t="shared" si="132"/>
        <v>1</v>
      </c>
      <c r="Q528">
        <f t="shared" si="133"/>
        <v>1</v>
      </c>
      <c r="R528">
        <f t="shared" si="134"/>
        <v>2</v>
      </c>
    </row>
    <row r="529" spans="1:18" hidden="1">
      <c r="A529" t="s">
        <v>26</v>
      </c>
      <c r="B529" t="str">
        <f t="shared" si="130"/>
        <v>HIDE</v>
      </c>
      <c r="C529" t="s">
        <v>62</v>
      </c>
      <c r="D529" t="str">
        <f>"""Mission ERP"",""GBRA"",""15"",""1"",""61102"""</f>
        <v>"Mission ERP","GBRA","15","1","61102"</v>
      </c>
      <c r="E529" t="str">
        <f>"61102"</f>
        <v>61102</v>
      </c>
      <c r="F529" t="str">
        <f>"OLD-DO NOT USE, BUILDING EXPENSE"</f>
        <v>OLD-DO NOT USE, BUILDING EXPENSE</v>
      </c>
      <c r="I529" s="8">
        <v>0</v>
      </c>
      <c r="J529" s="8"/>
      <c r="K529" s="8">
        <v>0</v>
      </c>
      <c r="L529" s="8"/>
      <c r="M529" s="8">
        <f t="shared" si="131"/>
        <v>0</v>
      </c>
      <c r="P529">
        <f t="shared" si="132"/>
        <v>0</v>
      </c>
      <c r="Q529">
        <f t="shared" si="133"/>
        <v>0</v>
      </c>
      <c r="R529">
        <f t="shared" si="134"/>
        <v>0</v>
      </c>
    </row>
    <row r="530" spans="1:18" hidden="1">
      <c r="A530" t="s">
        <v>26</v>
      </c>
      <c r="B530" t="str">
        <f t="shared" si="130"/>
        <v>HIDE</v>
      </c>
      <c r="C530" t="s">
        <v>62</v>
      </c>
      <c r="D530" t="str">
        <f>"""Mission ERP"",""GBRA"",""15"",""1"",""61103"""</f>
        <v>"Mission ERP","GBRA","15","1","61103"</v>
      </c>
      <c r="E530" t="str">
        <f>"61103"</f>
        <v>61103</v>
      </c>
      <c r="F530" t="str">
        <f>"OLD-DO NOT USE, EQUIPMENT EXPENSE"</f>
        <v>OLD-DO NOT USE, EQUIPMENT EXPENSE</v>
      </c>
      <c r="I530" s="8">
        <v>0</v>
      </c>
      <c r="J530" s="8"/>
      <c r="K530" s="8">
        <v>0</v>
      </c>
      <c r="L530" s="8"/>
      <c r="M530" s="8">
        <f t="shared" si="131"/>
        <v>0</v>
      </c>
      <c r="P530">
        <f t="shared" si="132"/>
        <v>0</v>
      </c>
      <c r="Q530">
        <f t="shared" si="133"/>
        <v>0</v>
      </c>
      <c r="R530">
        <f t="shared" si="134"/>
        <v>0</v>
      </c>
    </row>
    <row r="531" spans="1:18" hidden="1">
      <c r="B531" t="s">
        <v>16</v>
      </c>
      <c r="I531" s="9"/>
      <c r="J531" s="8"/>
      <c r="K531" s="9"/>
      <c r="L531" s="8"/>
      <c r="M531" s="9"/>
    </row>
    <row r="532" spans="1:18">
      <c r="B532" t="str">
        <f>IF(R532=0,"HIDE","SHOW")</f>
        <v>SHOW</v>
      </c>
      <c r="F532" s="3" t="str">
        <f>CONCATENATE("Total ",F509)</f>
        <v>Total Capital Outlay</v>
      </c>
      <c r="I532" s="10">
        <f>SUM(I510:I531)</f>
        <v>407000</v>
      </c>
      <c r="J532" s="11"/>
      <c r="K532" s="10">
        <f>SUM(K510:K531)</f>
        <v>632000</v>
      </c>
      <c r="L532" s="11"/>
      <c r="M532" s="10">
        <f>K532-I532</f>
        <v>225000</v>
      </c>
      <c r="P532">
        <f>IF(I532=0,0,1)</f>
        <v>1</v>
      </c>
      <c r="Q532">
        <f>IF(K532=0,0,1)</f>
        <v>1</v>
      </c>
      <c r="R532">
        <f>P532+Q532</f>
        <v>2</v>
      </c>
    </row>
    <row r="533" spans="1:18">
      <c r="B533" t="str">
        <f>B532</f>
        <v>SHOW</v>
      </c>
      <c r="I533" s="8"/>
      <c r="J533" s="8"/>
      <c r="K533" s="8"/>
      <c r="L533" s="8"/>
      <c r="M533" s="8"/>
    </row>
    <row r="534" spans="1:18">
      <c r="B534" t="str">
        <f>B538</f>
        <v>SHOW</v>
      </c>
      <c r="C534">
        <v>61500</v>
      </c>
      <c r="F534" s="3" t="str">
        <f>"Transfers"</f>
        <v>Transfers</v>
      </c>
      <c r="I534" s="8"/>
      <c r="J534" s="8"/>
      <c r="K534" s="8"/>
      <c r="L534" s="8"/>
      <c r="M534" s="8"/>
    </row>
    <row r="535" spans="1:18">
      <c r="B535" t="str">
        <f>IF(R535=0,"HIDE","SHOW")</f>
        <v>SHOW</v>
      </c>
      <c r="C535" t="s">
        <v>63</v>
      </c>
      <c r="D535" t="str">
        <f>"""Mission ERP"",""GBRA"",""15"",""1"",""61505"""</f>
        <v>"Mission ERP","GBRA","15","1","61505"</v>
      </c>
      <c r="E535" t="str">
        <f>"61505"</f>
        <v>61505</v>
      </c>
      <c r="F535" t="str">
        <f>"TRANSFERS-DESIGNATED PROJECT FUND"</f>
        <v>TRANSFERS-DESIGNATED PROJECT FUND</v>
      </c>
      <c r="I535" s="8">
        <v>1634302</v>
      </c>
      <c r="J535" s="8"/>
      <c r="K535" s="8">
        <v>2960601</v>
      </c>
      <c r="L535" s="8"/>
      <c r="M535" s="8">
        <f>K535-I535</f>
        <v>1326299</v>
      </c>
      <c r="P535">
        <f>IF(I535=0,0,1)</f>
        <v>1</v>
      </c>
      <c r="Q535">
        <f>IF(K535=0,0,1)</f>
        <v>1</v>
      </c>
      <c r="R535">
        <f>P535+Q535</f>
        <v>2</v>
      </c>
    </row>
    <row r="536" spans="1:18">
      <c r="A536" t="s">
        <v>26</v>
      </c>
      <c r="B536" t="str">
        <f>IF(R536=0,"HIDE","SHOW")</f>
        <v>SHOW</v>
      </c>
      <c r="C536" t="s">
        <v>63</v>
      </c>
      <c r="D536" t="str">
        <f>"""Mission ERP"",""GBRA"",""15"",""1"",""61515"""</f>
        <v>"Mission ERP","GBRA","15","1","61515"</v>
      </c>
      <c r="E536" t="str">
        <f>"61515"</f>
        <v>61515</v>
      </c>
      <c r="F536" t="str">
        <f>"TRANSFERS-RESERVE FUND"</f>
        <v>TRANSFERS-RESERVE FUND</v>
      </c>
      <c r="I536" s="8">
        <v>50340</v>
      </c>
      <c r="J536" s="8"/>
      <c r="K536" s="8">
        <v>-205023</v>
      </c>
      <c r="L536" s="8"/>
      <c r="M536" s="8">
        <f>K536-I536</f>
        <v>-255363</v>
      </c>
      <c r="P536">
        <f>IF(I536=0,0,1)</f>
        <v>1</v>
      </c>
      <c r="Q536">
        <f>IF(K536=0,0,1)</f>
        <v>1</v>
      </c>
      <c r="R536">
        <f>P536+Q536</f>
        <v>2</v>
      </c>
    </row>
    <row r="537" spans="1:18" hidden="1">
      <c r="B537" t="s">
        <v>16</v>
      </c>
      <c r="I537" s="9"/>
      <c r="J537" s="8"/>
      <c r="K537" s="9"/>
      <c r="L537" s="8"/>
      <c r="M537" s="16"/>
    </row>
    <row r="538" spans="1:18">
      <c r="B538" t="str">
        <f>IF(R538=0,"HIDE","SHOW")</f>
        <v>SHOW</v>
      </c>
      <c r="F538" s="3" t="str">
        <f>CONCATENATE("Total ",F534)</f>
        <v>Total Transfers</v>
      </c>
      <c r="I538" s="10">
        <f>SUM(I535:I537)</f>
        <v>1684642</v>
      </c>
      <c r="J538" s="11"/>
      <c r="K538" s="10">
        <f>SUM(K535:K537)</f>
        <v>2755578</v>
      </c>
      <c r="L538" s="11"/>
      <c r="M538" s="10">
        <f>K538-I538</f>
        <v>1070936</v>
      </c>
      <c r="P538">
        <f>IF(I538=0,0,1)</f>
        <v>1</v>
      </c>
      <c r="Q538">
        <f>IF(K538=0,0,1)</f>
        <v>1</v>
      </c>
      <c r="R538">
        <f>P538+Q538</f>
        <v>2</v>
      </c>
    </row>
    <row r="539" spans="1:18">
      <c r="B539" t="str">
        <f>B538</f>
        <v>SHOW</v>
      </c>
      <c r="I539" s="8"/>
      <c r="J539" s="8"/>
      <c r="K539" s="8"/>
      <c r="L539" s="8"/>
      <c r="M539" s="8"/>
    </row>
    <row r="540" spans="1:18">
      <c r="B540" t="str">
        <f>IF(R540=0,"HIDE","SHOW")</f>
        <v>SHOW</v>
      </c>
      <c r="F540" s="3" t="s">
        <v>64</v>
      </c>
      <c r="I540" s="15">
        <f>I445+I490+I495+I501+I507+I532+I538</f>
        <v>76557923</v>
      </c>
      <c r="J540" s="11"/>
      <c r="K540" s="15">
        <f>K445+K490+K495+K501+K507+K532+K538</f>
        <v>90362898</v>
      </c>
      <c r="L540" s="11"/>
      <c r="M540" s="15">
        <f>K540-I540</f>
        <v>13804975</v>
      </c>
      <c r="P540">
        <f>IF(I540=0,0,1)</f>
        <v>1</v>
      </c>
      <c r="Q540">
        <f>IF(K540=0,0,1)</f>
        <v>1</v>
      </c>
      <c r="R540">
        <f>P540+Q540</f>
        <v>2</v>
      </c>
    </row>
    <row r="541" spans="1:18">
      <c r="I541" s="8"/>
      <c r="J541" s="8"/>
      <c r="K541" s="8"/>
      <c r="L541" s="8"/>
      <c r="M541" s="8"/>
    </row>
    <row r="542" spans="1:18" ht="15.75" thickBot="1">
      <c r="B542" t="s">
        <v>17</v>
      </c>
      <c r="F542" s="3" t="s">
        <v>65</v>
      </c>
      <c r="I542" s="14">
        <f>I335-I540</f>
        <v>5898315</v>
      </c>
      <c r="J542" s="11"/>
      <c r="K542" s="14">
        <f>K335-K540</f>
        <v>7402234</v>
      </c>
      <c r="L542" s="11"/>
      <c r="M542" s="14">
        <f>K542-I542</f>
        <v>1503919</v>
      </c>
      <c r="P542">
        <f>IF(I542=0,0,1)</f>
        <v>1</v>
      </c>
      <c r="Q542">
        <f>IF(K542=0,0,1)</f>
        <v>1</v>
      </c>
      <c r="R542">
        <f>P542+Q542</f>
        <v>2</v>
      </c>
    </row>
    <row r="543" spans="1:18" ht="15.75" thickTop="1">
      <c r="I543" s="8"/>
      <c r="J543" s="8"/>
      <c r="K543" s="8"/>
      <c r="L543" s="8"/>
      <c r="M543" s="8"/>
    </row>
    <row r="544" spans="1:18">
      <c r="I544" s="8"/>
      <c r="J544" s="8"/>
      <c r="K544" s="8"/>
      <c r="L544" s="8"/>
      <c r="M544" s="8"/>
    </row>
    <row r="545" spans="1:18">
      <c r="B545" t="str">
        <f>B546</f>
        <v>SHOW</v>
      </c>
      <c r="I545" s="8"/>
      <c r="J545" s="8"/>
      <c r="K545" s="8"/>
      <c r="L545" s="8"/>
      <c r="M545" s="8"/>
    </row>
    <row r="546" spans="1:18" ht="18.75">
      <c r="B546" t="str">
        <f>IF(R546=0,"HIDE","SHOW")</f>
        <v>SHOW</v>
      </c>
      <c r="F546" s="5" t="s">
        <v>66</v>
      </c>
      <c r="I546" s="8"/>
      <c r="J546" s="8"/>
      <c r="K546" s="8"/>
      <c r="L546" s="8"/>
      <c r="M546" s="8"/>
      <c r="P546">
        <f>P662+P779</f>
        <v>2</v>
      </c>
      <c r="Q546">
        <f>Q662+Q779</f>
        <v>2</v>
      </c>
      <c r="R546">
        <f>P546+Q546</f>
        <v>4</v>
      </c>
    </row>
    <row r="547" spans="1:18" ht="18.75">
      <c r="B547" t="str">
        <f>B546</f>
        <v>SHOW</v>
      </c>
      <c r="F547" s="5"/>
      <c r="I547" s="8"/>
      <c r="J547" s="8"/>
      <c r="K547" s="8"/>
      <c r="L547" s="8"/>
      <c r="M547" s="8"/>
    </row>
    <row r="548" spans="1:18">
      <c r="B548" t="str">
        <f>B628</f>
        <v>SHOW</v>
      </c>
      <c r="F548" s="3" t="s">
        <v>67</v>
      </c>
      <c r="I548" s="8"/>
      <c r="J548" s="8"/>
      <c r="K548" s="8"/>
      <c r="L548" s="8"/>
      <c r="M548" s="8"/>
    </row>
    <row r="549" spans="1:18" hidden="1">
      <c r="B549" t="str">
        <f>IF(R549=0,"HIDE","SHOW")</f>
        <v>HIDE</v>
      </c>
      <c r="C549" t="s">
        <v>68</v>
      </c>
      <c r="D549" t="str">
        <f>"""Mission ERP"",""GBRA"",""15"",""1"",""41119"""</f>
        <v>"Mission ERP","GBRA","15","1","41119"</v>
      </c>
      <c r="E549" t="str">
        <f>"41119"</f>
        <v>41119</v>
      </c>
      <c r="F549" t="str">
        <f>"POC-DEBT SERVICE"</f>
        <v>POC-DEBT SERVICE</v>
      </c>
      <c r="I549" s="8">
        <v>0</v>
      </c>
      <c r="J549" s="8"/>
      <c r="K549" s="8">
        <v>0</v>
      </c>
      <c r="L549" s="8"/>
      <c r="M549" s="8">
        <f>K549-I549</f>
        <v>0</v>
      </c>
      <c r="P549">
        <f>IF(I549=0,0,1)</f>
        <v>0</v>
      </c>
      <c r="Q549">
        <f>IF(K549=0,0,1)</f>
        <v>0</v>
      </c>
      <c r="R549">
        <f>P549+Q549</f>
        <v>0</v>
      </c>
    </row>
    <row r="550" spans="1:18" hidden="1">
      <c r="A550" t="s">
        <v>26</v>
      </c>
      <c r="B550" t="str">
        <f t="shared" ref="B550:B613" si="135">IF(R550=0,"HIDE","SHOW")</f>
        <v>HIDE</v>
      </c>
      <c r="C550" t="s">
        <v>68</v>
      </c>
      <c r="D550" t="str">
        <f>"""Mission ERP"",""GBRA"",""15"",""1"",""41129"""</f>
        <v>"Mission ERP","GBRA","15","1","41129"</v>
      </c>
      <c r="E550" t="str">
        <f>"41129"</f>
        <v>41129</v>
      </c>
      <c r="F550" t="str">
        <f>"RW-DEBT SERVICE"</f>
        <v>RW-DEBT SERVICE</v>
      </c>
      <c r="I550" s="8">
        <v>0</v>
      </c>
      <c r="J550" s="8"/>
      <c r="K550" s="8">
        <v>0</v>
      </c>
      <c r="L550" s="8"/>
      <c r="M550" s="8">
        <f t="shared" ref="M550:M613" si="136">K550-I550</f>
        <v>0</v>
      </c>
      <c r="P550">
        <f t="shared" ref="P550:P613" si="137">IF(I550=0,0,1)</f>
        <v>0</v>
      </c>
      <c r="Q550">
        <f t="shared" ref="Q550:Q613" si="138">IF(K550=0,0,1)</f>
        <v>0</v>
      </c>
      <c r="R550">
        <f t="shared" ref="R550:R613" si="139">P550+Q550</f>
        <v>0</v>
      </c>
    </row>
    <row r="551" spans="1:18">
      <c r="A551" t="s">
        <v>26</v>
      </c>
      <c r="B551" t="str">
        <f t="shared" si="135"/>
        <v>SHOW</v>
      </c>
      <c r="C551" t="s">
        <v>68</v>
      </c>
      <c r="D551" t="str">
        <f>"""Mission ERP"",""GBRA"",""15"",""1"",""41131"""</f>
        <v>"Mission ERP","GBRA","15","1","41131"</v>
      </c>
      <c r="E551" t="str">
        <f>"41131"</f>
        <v>41131</v>
      </c>
      <c r="F551" t="str">
        <f>"DEBT SERVICE-LU/LO PROJECT"</f>
        <v>DEBT SERVICE-LU/LO PROJECT</v>
      </c>
      <c r="I551" s="8">
        <v>409301</v>
      </c>
      <c r="J551" s="8"/>
      <c r="K551" s="8">
        <v>407543</v>
      </c>
      <c r="L551" s="8"/>
      <c r="M551" s="8">
        <f t="shared" si="136"/>
        <v>-1758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hidden="1">
      <c r="A552" t="s">
        <v>26</v>
      </c>
      <c r="B552" t="str">
        <f t="shared" si="135"/>
        <v>HIDE</v>
      </c>
      <c r="C552" t="s">
        <v>68</v>
      </c>
      <c r="D552" t="str">
        <f>"""Mission ERP"",""GBRA"",""15"",""1"",""41132"""</f>
        <v>"Mission ERP","GBRA","15","1","41132"</v>
      </c>
      <c r="E552" t="str">
        <f>"41132"</f>
        <v>41132</v>
      </c>
      <c r="F552" t="str">
        <f>"OLD-DO NOT USE, LU/LO DEBT COVERAGE"</f>
        <v>OLD-DO NOT USE, LU/LO DEBT COVERAGE</v>
      </c>
      <c r="I552" s="8">
        <v>0</v>
      </c>
      <c r="J552" s="8"/>
      <c r="K552" s="8">
        <v>0</v>
      </c>
      <c r="L552" s="8"/>
      <c r="M552" s="8">
        <f t="shared" si="136"/>
        <v>0</v>
      </c>
      <c r="P552">
        <f t="shared" si="137"/>
        <v>0</v>
      </c>
      <c r="Q552">
        <f t="shared" si="138"/>
        <v>0</v>
      </c>
      <c r="R552">
        <f t="shared" si="139"/>
        <v>0</v>
      </c>
    </row>
    <row r="553" spans="1:18">
      <c r="A553" t="s">
        <v>26</v>
      </c>
      <c r="B553" t="str">
        <f t="shared" si="135"/>
        <v>SHOW</v>
      </c>
      <c r="C553" t="s">
        <v>68</v>
      </c>
      <c r="D553" t="str">
        <f>"""Mission ERP"",""GBRA"",""15"",""1"",""41133"""</f>
        <v>"Mission ERP","GBRA","15","1","41133"</v>
      </c>
      <c r="E553" t="str">
        <f>"41133"</f>
        <v>41133</v>
      </c>
      <c r="F553" t="str">
        <f>"DEBT COVER-LU/LO PROJECT"</f>
        <v>DEBT COVER-LU/LO PROJECT</v>
      </c>
      <c r="I553" s="8">
        <v>40930</v>
      </c>
      <c r="J553" s="8"/>
      <c r="K553" s="8">
        <v>40754</v>
      </c>
      <c r="L553" s="8"/>
      <c r="M553" s="8">
        <f t="shared" si="136"/>
        <v>-176</v>
      </c>
      <c r="P553">
        <f t="shared" si="137"/>
        <v>1</v>
      </c>
      <c r="Q553">
        <f t="shared" si="138"/>
        <v>1</v>
      </c>
      <c r="R553">
        <f t="shared" si="139"/>
        <v>2</v>
      </c>
    </row>
    <row r="554" spans="1:18" hidden="1">
      <c r="A554" t="s">
        <v>26</v>
      </c>
      <c r="B554" t="str">
        <f t="shared" si="135"/>
        <v>HIDE</v>
      </c>
      <c r="C554" t="s">
        <v>68</v>
      </c>
      <c r="D554" t="str">
        <f>"""Mission ERP"",""GBRA"",""15"",""1"",""41138"""</f>
        <v>"Mission ERP","GBRA","15","1","41138"</v>
      </c>
      <c r="E554" t="str">
        <f>"41138"</f>
        <v>41138</v>
      </c>
      <c r="F554" t="str">
        <f>"DEBT SERVICE-LULING WTP"</f>
        <v>DEBT SERVICE-LULING WTP</v>
      </c>
      <c r="I554" s="8">
        <v>0</v>
      </c>
      <c r="J554" s="8"/>
      <c r="K554" s="8">
        <v>0</v>
      </c>
      <c r="L554" s="8"/>
      <c r="M554" s="8">
        <f t="shared" si="136"/>
        <v>0</v>
      </c>
      <c r="P554">
        <f t="shared" si="137"/>
        <v>0</v>
      </c>
      <c r="Q554">
        <f t="shared" si="138"/>
        <v>0</v>
      </c>
      <c r="R554">
        <f t="shared" si="139"/>
        <v>0</v>
      </c>
    </row>
    <row r="555" spans="1:18" hidden="1">
      <c r="A555" t="s">
        <v>26</v>
      </c>
      <c r="B555" t="str">
        <f t="shared" si="135"/>
        <v>HIDE</v>
      </c>
      <c r="C555" t="s">
        <v>68</v>
      </c>
      <c r="D555" t="str">
        <f>"""Mission ERP"",""GBRA"",""15"",""1"",""42601"""</f>
        <v>"Mission ERP","GBRA","15","1","42601"</v>
      </c>
      <c r="E555" t="str">
        <f>"42601"</f>
        <v>42601</v>
      </c>
      <c r="F555" t="str">
        <f>"DEBT SERV-RRWDS, COSM"</f>
        <v>DEBT SERV-RRWDS, COSM</v>
      </c>
      <c r="I555" s="8">
        <v>0</v>
      </c>
      <c r="J555" s="8"/>
      <c r="K555" s="8">
        <v>0</v>
      </c>
      <c r="L555" s="8"/>
      <c r="M555" s="8">
        <f t="shared" si="136"/>
        <v>0</v>
      </c>
      <c r="P555">
        <f t="shared" si="137"/>
        <v>0</v>
      </c>
      <c r="Q555">
        <f t="shared" si="138"/>
        <v>0</v>
      </c>
      <c r="R555">
        <f t="shared" si="139"/>
        <v>0</v>
      </c>
    </row>
    <row r="556" spans="1:18">
      <c r="A556" t="s">
        <v>26</v>
      </c>
      <c r="B556" t="str">
        <f t="shared" si="135"/>
        <v>SHOW</v>
      </c>
      <c r="C556" t="s">
        <v>68</v>
      </c>
      <c r="D556" t="str">
        <f>"""Mission ERP"",""GBRA"",""15"",""1"",""42602"""</f>
        <v>"Mission ERP","GBRA","15","1","42602"</v>
      </c>
      <c r="E556" t="str">
        <f>"42602"</f>
        <v>42602</v>
      </c>
      <c r="F556" t="str">
        <f>"DEBT SERV-RRWDS, BUDA"</f>
        <v>DEBT SERV-RRWDS, BUDA</v>
      </c>
      <c r="I556" s="8">
        <v>103985</v>
      </c>
      <c r="J556" s="8"/>
      <c r="K556" s="8">
        <v>100217</v>
      </c>
      <c r="L556" s="8"/>
      <c r="M556" s="8">
        <f t="shared" si="136"/>
        <v>-3768</v>
      </c>
      <c r="P556">
        <f t="shared" si="137"/>
        <v>1</v>
      </c>
      <c r="Q556">
        <f t="shared" si="138"/>
        <v>1</v>
      </c>
      <c r="R556">
        <f t="shared" si="139"/>
        <v>2</v>
      </c>
    </row>
    <row r="557" spans="1:18">
      <c r="A557" t="s">
        <v>26</v>
      </c>
      <c r="B557" t="str">
        <f t="shared" si="135"/>
        <v>SHOW</v>
      </c>
      <c r="C557" t="s">
        <v>68</v>
      </c>
      <c r="D557" t="str">
        <f>"""Mission ERP"",""GBRA"",""15"",""1"",""42603"""</f>
        <v>"Mission ERP","GBRA","15","1","42603"</v>
      </c>
      <c r="E557" t="str">
        <f>"42603"</f>
        <v>42603</v>
      </c>
      <c r="F557" t="str">
        <f>"DEBT SERV-RRWDS, GOFORTH"</f>
        <v>DEBT SERV-RRWDS, GOFORTH</v>
      </c>
      <c r="I557" s="8">
        <v>342223</v>
      </c>
      <c r="J557" s="8"/>
      <c r="K557" s="8">
        <v>329821</v>
      </c>
      <c r="L557" s="8"/>
      <c r="M557" s="8">
        <f t="shared" si="136"/>
        <v>-12402</v>
      </c>
      <c r="P557">
        <f t="shared" si="137"/>
        <v>1</v>
      </c>
      <c r="Q557">
        <f t="shared" si="138"/>
        <v>1</v>
      </c>
      <c r="R557">
        <f t="shared" si="139"/>
        <v>2</v>
      </c>
    </row>
    <row r="558" spans="1:18">
      <c r="A558" t="s">
        <v>26</v>
      </c>
      <c r="B558" t="str">
        <f t="shared" si="135"/>
        <v>SHOW</v>
      </c>
      <c r="C558" t="s">
        <v>68</v>
      </c>
      <c r="D558" t="str">
        <f>"""Mission ERP"",""GBRA"",""15"",""1"",""42604"""</f>
        <v>"Mission ERP","GBRA","15","1","42604"</v>
      </c>
      <c r="E558" t="str">
        <f>"42604"</f>
        <v>42604</v>
      </c>
      <c r="F558" t="str">
        <f>"DEBT SERV-RRWDS, KYLE"</f>
        <v>DEBT SERV-RRWDS, KYLE</v>
      </c>
      <c r="I558" s="8">
        <v>337928</v>
      </c>
      <c r="J558" s="8"/>
      <c r="K558" s="8">
        <v>325681</v>
      </c>
      <c r="L558" s="8"/>
      <c r="M558" s="8">
        <f t="shared" si="136"/>
        <v>-12247</v>
      </c>
      <c r="P558">
        <f t="shared" si="137"/>
        <v>1</v>
      </c>
      <c r="Q558">
        <f t="shared" si="138"/>
        <v>1</v>
      </c>
      <c r="R558">
        <f t="shared" si="139"/>
        <v>2</v>
      </c>
    </row>
    <row r="559" spans="1:18">
      <c r="A559" t="s">
        <v>26</v>
      </c>
      <c r="B559" t="str">
        <f t="shared" si="135"/>
        <v>SHOW</v>
      </c>
      <c r="C559" t="s">
        <v>68</v>
      </c>
      <c r="D559" t="str">
        <f>"""Mission ERP"",""GBRA"",""15"",""1"",""42605"""</f>
        <v>"Mission ERP","GBRA","15","1","42605"</v>
      </c>
      <c r="E559" t="str">
        <f>"42605"</f>
        <v>42605</v>
      </c>
      <c r="F559" t="str">
        <f>"DEBT SERV-RRWDS, MONARCH"</f>
        <v>DEBT SERV-RRWDS, MONARCH</v>
      </c>
      <c r="I559" s="8">
        <v>34962</v>
      </c>
      <c r="J559" s="8"/>
      <c r="K559" s="8">
        <v>33695</v>
      </c>
      <c r="L559" s="8"/>
      <c r="M559" s="8">
        <f t="shared" si="136"/>
        <v>-1267</v>
      </c>
      <c r="P559">
        <f t="shared" si="137"/>
        <v>1</v>
      </c>
      <c r="Q559">
        <f t="shared" si="138"/>
        <v>1</v>
      </c>
      <c r="R559">
        <f t="shared" si="139"/>
        <v>2</v>
      </c>
    </row>
    <row r="560" spans="1:18" hidden="1">
      <c r="A560" t="s">
        <v>26</v>
      </c>
      <c r="B560" t="str">
        <f t="shared" si="135"/>
        <v>HIDE</v>
      </c>
      <c r="C560" t="s">
        <v>68</v>
      </c>
      <c r="D560" t="str">
        <f>"""Mission ERP"",""GBRA"",""15"",""1"",""42606"""</f>
        <v>"Mission ERP","GBRA","15","1","42606"</v>
      </c>
      <c r="E560" t="str">
        <f>"42606"</f>
        <v>42606</v>
      </c>
      <c r="F560" t="str">
        <f>"DEBT SERV-RRWDS, SUNFIELD"</f>
        <v>DEBT SERV-RRWDS, SUNFIELD</v>
      </c>
      <c r="I560" s="8">
        <v>0</v>
      </c>
      <c r="J560" s="8"/>
      <c r="K560" s="8">
        <v>0</v>
      </c>
      <c r="L560" s="8"/>
      <c r="M560" s="8">
        <f t="shared" si="136"/>
        <v>0</v>
      </c>
      <c r="P560">
        <f t="shared" si="137"/>
        <v>0</v>
      </c>
      <c r="Q560">
        <f t="shared" si="138"/>
        <v>0</v>
      </c>
      <c r="R560">
        <f t="shared" si="139"/>
        <v>0</v>
      </c>
    </row>
    <row r="561" spans="1:18">
      <c r="A561" t="s">
        <v>26</v>
      </c>
      <c r="B561" t="str">
        <f t="shared" si="135"/>
        <v>SHOW</v>
      </c>
      <c r="C561" t="s">
        <v>68</v>
      </c>
      <c r="D561" t="str">
        <f>"""Mission ERP"",""GBRA"",""15"",""1"",""42607"""</f>
        <v>"Mission ERP","GBRA","15","1","42607"</v>
      </c>
      <c r="E561" t="str">
        <f>"42607"</f>
        <v>42607</v>
      </c>
      <c r="F561" t="str">
        <f>"DEBT SERV-RRWDS, CRWA"</f>
        <v>DEBT SERV-RRWDS, CRWA</v>
      </c>
      <c r="I561" s="8">
        <v>138847</v>
      </c>
      <c r="J561" s="8"/>
      <c r="K561" s="8">
        <v>133815</v>
      </c>
      <c r="L561" s="8"/>
      <c r="M561" s="8">
        <f t="shared" si="136"/>
        <v>-5032</v>
      </c>
      <c r="P561">
        <f t="shared" si="137"/>
        <v>1</v>
      </c>
      <c r="Q561">
        <f t="shared" si="138"/>
        <v>1</v>
      </c>
      <c r="R561">
        <f t="shared" si="139"/>
        <v>2</v>
      </c>
    </row>
    <row r="562" spans="1:18">
      <c r="A562" t="s">
        <v>26</v>
      </c>
      <c r="B562" t="str">
        <f t="shared" si="135"/>
        <v>SHOW</v>
      </c>
      <c r="C562" t="s">
        <v>68</v>
      </c>
      <c r="D562" t="str">
        <f>"""Mission ERP"",""GBRA"",""15"",""1"",""42608"""</f>
        <v>"Mission ERP","GBRA","15","1","42608"</v>
      </c>
      <c r="E562" t="str">
        <f>"42608"</f>
        <v>42608</v>
      </c>
      <c r="F562" t="str">
        <f>"DEBT SERV-RRWDS, HELP"</f>
        <v>DEBT SERV-RRWDS, HELP</v>
      </c>
      <c r="I562" s="8">
        <v>152632</v>
      </c>
      <c r="J562" s="8"/>
      <c r="K562" s="8">
        <v>147101</v>
      </c>
      <c r="L562" s="8"/>
      <c r="M562" s="8">
        <f t="shared" si="136"/>
        <v>-5531</v>
      </c>
      <c r="P562">
        <f t="shared" si="137"/>
        <v>1</v>
      </c>
      <c r="Q562">
        <f t="shared" si="138"/>
        <v>1</v>
      </c>
      <c r="R562">
        <f t="shared" si="139"/>
        <v>2</v>
      </c>
    </row>
    <row r="563" spans="1:18" hidden="1">
      <c r="A563" t="s">
        <v>26</v>
      </c>
      <c r="B563" t="str">
        <f t="shared" si="135"/>
        <v>HIDE</v>
      </c>
      <c r="C563" t="s">
        <v>68</v>
      </c>
      <c r="D563" t="str">
        <f>"""Mission ERP"",""GBRA"",""15"",""1"",""42609"""</f>
        <v>"Mission ERP","GBRA","15","1","42609"</v>
      </c>
      <c r="E563" t="str">
        <f>"42609"</f>
        <v>42609</v>
      </c>
      <c r="F563" t="str">
        <f>"OLD-DO NOT USE, DEBT COVERAGE-RRWDS"</f>
        <v>OLD-DO NOT USE, DEBT COVERAGE-RRWDS</v>
      </c>
      <c r="I563" s="8">
        <v>0</v>
      </c>
      <c r="J563" s="8"/>
      <c r="K563" s="8">
        <v>0</v>
      </c>
      <c r="L563" s="8"/>
      <c r="M563" s="8">
        <f t="shared" si="136"/>
        <v>0</v>
      </c>
      <c r="P563">
        <f t="shared" si="137"/>
        <v>0</v>
      </c>
      <c r="Q563">
        <f t="shared" si="138"/>
        <v>0</v>
      </c>
      <c r="R563">
        <f t="shared" si="139"/>
        <v>0</v>
      </c>
    </row>
    <row r="564" spans="1:18" hidden="1">
      <c r="A564" t="s">
        <v>26</v>
      </c>
      <c r="B564" t="str">
        <f t="shared" si="135"/>
        <v>HIDE</v>
      </c>
      <c r="C564" t="s">
        <v>68</v>
      </c>
      <c r="D564" t="str">
        <f>"""Mission ERP"",""GBRA"",""15"",""1"",""42610"""</f>
        <v>"Mission ERP","GBRA","15","1","42610"</v>
      </c>
      <c r="E564" t="str">
        <f>"42610"</f>
        <v>42610</v>
      </c>
      <c r="F564" t="str">
        <f>"DEBT SERV-2025 RRWDS VFD, COSM"</f>
        <v>DEBT SERV-2025 RRWDS VFD, COSM</v>
      </c>
      <c r="I564" s="8">
        <v>0</v>
      </c>
      <c r="J564" s="8"/>
      <c r="K564" s="8">
        <v>0</v>
      </c>
      <c r="L564" s="8"/>
      <c r="M564" s="8">
        <f t="shared" si="136"/>
        <v>0</v>
      </c>
      <c r="P564">
        <f t="shared" si="137"/>
        <v>0</v>
      </c>
      <c r="Q564">
        <f t="shared" si="138"/>
        <v>0</v>
      </c>
      <c r="R564">
        <f t="shared" si="139"/>
        <v>0</v>
      </c>
    </row>
    <row r="565" spans="1:18" hidden="1">
      <c r="A565" t="s">
        <v>26</v>
      </c>
      <c r="B565" t="str">
        <f t="shared" si="135"/>
        <v>HIDE</v>
      </c>
      <c r="C565" t="s">
        <v>68</v>
      </c>
      <c r="D565" t="str">
        <f>"""Mission ERP"",""GBRA"",""15"",""1"",""42611"""</f>
        <v>"Mission ERP","GBRA","15","1","42611"</v>
      </c>
      <c r="E565" t="str">
        <f>"42611"</f>
        <v>42611</v>
      </c>
      <c r="F565" t="str">
        <f>"DEBT SERV-2025 RRWDS VFD, BUDA"</f>
        <v>DEBT SERV-2025 RRWDS VFD, BUDA</v>
      </c>
      <c r="I565" s="8">
        <v>0</v>
      </c>
      <c r="J565" s="8"/>
      <c r="K565" s="8">
        <v>0</v>
      </c>
      <c r="L565" s="8"/>
      <c r="M565" s="8">
        <f t="shared" si="136"/>
        <v>0</v>
      </c>
      <c r="P565">
        <f t="shared" si="137"/>
        <v>0</v>
      </c>
      <c r="Q565">
        <f t="shared" si="138"/>
        <v>0</v>
      </c>
      <c r="R565">
        <f t="shared" si="139"/>
        <v>0</v>
      </c>
    </row>
    <row r="566" spans="1:18" hidden="1">
      <c r="A566" t="s">
        <v>26</v>
      </c>
      <c r="B566" t="str">
        <f t="shared" si="135"/>
        <v>HIDE</v>
      </c>
      <c r="C566" t="s">
        <v>68</v>
      </c>
      <c r="D566" t="str">
        <f>"""Mission ERP"",""GBRA"",""15"",""1"",""42612"""</f>
        <v>"Mission ERP","GBRA","15","1","42612"</v>
      </c>
      <c r="E566" t="str">
        <f>"42612"</f>
        <v>42612</v>
      </c>
      <c r="F566" t="str">
        <f>"DEBT SERV-2025 RRWDS VFD, GOFORTH"</f>
        <v>DEBT SERV-2025 RRWDS VFD, GOFORTH</v>
      </c>
      <c r="I566" s="8">
        <v>0</v>
      </c>
      <c r="J566" s="8"/>
      <c r="K566" s="8">
        <v>0</v>
      </c>
      <c r="L566" s="8"/>
      <c r="M566" s="8">
        <f t="shared" si="136"/>
        <v>0</v>
      </c>
      <c r="P566">
        <f t="shared" si="137"/>
        <v>0</v>
      </c>
      <c r="Q566">
        <f t="shared" si="138"/>
        <v>0</v>
      </c>
      <c r="R566">
        <f t="shared" si="139"/>
        <v>0</v>
      </c>
    </row>
    <row r="567" spans="1:18" hidden="1">
      <c r="A567" t="s">
        <v>26</v>
      </c>
      <c r="B567" t="str">
        <f t="shared" si="135"/>
        <v>HIDE</v>
      </c>
      <c r="C567" t="s">
        <v>68</v>
      </c>
      <c r="D567" t="str">
        <f>"""Mission ERP"",""GBRA"",""15"",""1"",""42613"""</f>
        <v>"Mission ERP","GBRA","15","1","42613"</v>
      </c>
      <c r="E567" t="str">
        <f>"42613"</f>
        <v>42613</v>
      </c>
      <c r="F567" t="str">
        <f>"DEBT SERV-2025 RRWDS VFD, KYLE"</f>
        <v>DEBT SERV-2025 RRWDS VFD, KYLE</v>
      </c>
      <c r="I567" s="8">
        <v>0</v>
      </c>
      <c r="J567" s="8"/>
      <c r="K567" s="8">
        <v>0</v>
      </c>
      <c r="L567" s="8"/>
      <c r="M567" s="8">
        <f t="shared" si="136"/>
        <v>0</v>
      </c>
      <c r="P567">
        <f t="shared" si="137"/>
        <v>0</v>
      </c>
      <c r="Q567">
        <f t="shared" si="138"/>
        <v>0</v>
      </c>
      <c r="R567">
        <f t="shared" si="139"/>
        <v>0</v>
      </c>
    </row>
    <row r="568" spans="1:18" hidden="1">
      <c r="A568" t="s">
        <v>26</v>
      </c>
      <c r="B568" t="str">
        <f t="shared" si="135"/>
        <v>HIDE</v>
      </c>
      <c r="C568" t="s">
        <v>68</v>
      </c>
      <c r="D568" t="str">
        <f>"""Mission ERP"",""GBRA"",""15"",""1"",""42614"""</f>
        <v>"Mission ERP","GBRA","15","1","42614"</v>
      </c>
      <c r="E568" t="str">
        <f>"42614"</f>
        <v>42614</v>
      </c>
      <c r="F568" t="str">
        <f>"DEBT SERV-2025 RRWDS VFD, MONARCH"</f>
        <v>DEBT SERV-2025 RRWDS VFD, MONARCH</v>
      </c>
      <c r="I568" s="8">
        <v>0</v>
      </c>
      <c r="J568" s="8"/>
      <c r="K568" s="8">
        <v>0</v>
      </c>
      <c r="L568" s="8"/>
      <c r="M568" s="8">
        <f t="shared" si="136"/>
        <v>0</v>
      </c>
      <c r="P568">
        <f t="shared" si="137"/>
        <v>0</v>
      </c>
      <c r="Q568">
        <f t="shared" si="138"/>
        <v>0</v>
      </c>
      <c r="R568">
        <f t="shared" si="139"/>
        <v>0</v>
      </c>
    </row>
    <row r="569" spans="1:18" hidden="1">
      <c r="A569" t="s">
        <v>26</v>
      </c>
      <c r="B569" t="str">
        <f t="shared" si="135"/>
        <v>HIDE</v>
      </c>
      <c r="C569" t="s">
        <v>68</v>
      </c>
      <c r="D569" t="str">
        <f>"""Mission ERP"",""GBRA"",""15"",""1"",""42615"""</f>
        <v>"Mission ERP","GBRA","15","1","42615"</v>
      </c>
      <c r="E569" t="str">
        <f>"42615"</f>
        <v>42615</v>
      </c>
      <c r="F569" t="str">
        <f>"DEBT SERV-2025 RRWDS VFD, SUNFIELD"</f>
        <v>DEBT SERV-2025 RRWDS VFD, SUNFIELD</v>
      </c>
      <c r="I569" s="8">
        <v>0</v>
      </c>
      <c r="J569" s="8"/>
      <c r="K569" s="8">
        <v>0</v>
      </c>
      <c r="L569" s="8"/>
      <c r="M569" s="8">
        <f t="shared" si="136"/>
        <v>0</v>
      </c>
      <c r="P569">
        <f t="shared" si="137"/>
        <v>0</v>
      </c>
      <c r="Q569">
        <f t="shared" si="138"/>
        <v>0</v>
      </c>
      <c r="R569">
        <f t="shared" si="139"/>
        <v>0</v>
      </c>
    </row>
    <row r="570" spans="1:18" hidden="1">
      <c r="A570" t="s">
        <v>26</v>
      </c>
      <c r="B570" t="str">
        <f t="shared" si="135"/>
        <v>HIDE</v>
      </c>
      <c r="C570" t="s">
        <v>68</v>
      </c>
      <c r="D570" t="str">
        <f>"""Mission ERP"",""GBRA"",""15"",""1"",""42616"""</f>
        <v>"Mission ERP","GBRA","15","1","42616"</v>
      </c>
      <c r="E570" t="str">
        <f>"42616"</f>
        <v>42616</v>
      </c>
      <c r="F570" t="str">
        <f>"DEBT SERV-2025 RRWDS VFD, CRWA"</f>
        <v>DEBT SERV-2025 RRWDS VFD, CRWA</v>
      </c>
      <c r="I570" s="8">
        <v>0</v>
      </c>
      <c r="J570" s="8"/>
      <c r="K570" s="8">
        <v>0</v>
      </c>
      <c r="L570" s="8"/>
      <c r="M570" s="8">
        <f t="shared" si="136"/>
        <v>0</v>
      </c>
      <c r="P570">
        <f t="shared" si="137"/>
        <v>0</v>
      </c>
      <c r="Q570">
        <f t="shared" si="138"/>
        <v>0</v>
      </c>
      <c r="R570">
        <f t="shared" si="139"/>
        <v>0</v>
      </c>
    </row>
    <row r="571" spans="1:18" hidden="1">
      <c r="A571" t="s">
        <v>26</v>
      </c>
      <c r="B571" t="str">
        <f t="shared" si="135"/>
        <v>HIDE</v>
      </c>
      <c r="C571" t="s">
        <v>68</v>
      </c>
      <c r="D571" t="str">
        <f>"""Mission ERP"",""GBRA"",""15"",""1"",""42617"""</f>
        <v>"Mission ERP","GBRA","15","1","42617"</v>
      </c>
      <c r="E571" t="str">
        <f>"42617"</f>
        <v>42617</v>
      </c>
      <c r="F571" t="str">
        <f>"DEBT SERV-2025 RRWDS VFD, HELP"</f>
        <v>DEBT SERV-2025 RRWDS VFD, HELP</v>
      </c>
      <c r="I571" s="8">
        <v>0</v>
      </c>
      <c r="J571" s="8"/>
      <c r="K571" s="8">
        <v>0</v>
      </c>
      <c r="L571" s="8"/>
      <c r="M571" s="8">
        <f t="shared" si="136"/>
        <v>0</v>
      </c>
      <c r="P571">
        <f t="shared" si="137"/>
        <v>0</v>
      </c>
      <c r="Q571">
        <f t="shared" si="138"/>
        <v>0</v>
      </c>
      <c r="R571">
        <f t="shared" si="139"/>
        <v>0</v>
      </c>
    </row>
    <row r="572" spans="1:18" hidden="1">
      <c r="A572" t="s">
        <v>26</v>
      </c>
      <c r="B572" t="str">
        <f t="shared" si="135"/>
        <v>HIDE</v>
      </c>
      <c r="C572" t="s">
        <v>68</v>
      </c>
      <c r="D572" t="str">
        <f>"""Mission ERP"",""GBRA"",""15"",""1"",""42620"""</f>
        <v>"Mission ERP","GBRA","15","1","42620"</v>
      </c>
      <c r="E572" t="str">
        <f>"42620"</f>
        <v>42620</v>
      </c>
      <c r="F572" t="str">
        <f>"DEBT SERV-2011 SMWTP, COSM CREDIT"</f>
        <v>DEBT SERV-2011 SMWTP, COSM CREDIT</v>
      </c>
      <c r="I572" s="8">
        <v>0</v>
      </c>
      <c r="J572" s="8"/>
      <c r="K572" s="8">
        <v>0</v>
      </c>
      <c r="L572" s="8"/>
      <c r="M572" s="8">
        <f t="shared" si="136"/>
        <v>0</v>
      </c>
      <c r="P572">
        <f t="shared" si="137"/>
        <v>0</v>
      </c>
      <c r="Q572">
        <f t="shared" si="138"/>
        <v>0</v>
      </c>
      <c r="R572">
        <f t="shared" si="139"/>
        <v>0</v>
      </c>
    </row>
    <row r="573" spans="1:18" hidden="1">
      <c r="A573" t="s">
        <v>26</v>
      </c>
      <c r="B573" t="str">
        <f t="shared" si="135"/>
        <v>HIDE</v>
      </c>
      <c r="C573" t="s">
        <v>68</v>
      </c>
      <c r="D573" t="str">
        <f>"""Mission ERP"",""GBRA"",""15"",""1"",""42621"""</f>
        <v>"Mission ERP","GBRA","15","1","42621"</v>
      </c>
      <c r="E573" t="str">
        <f>"42621"</f>
        <v>42621</v>
      </c>
      <c r="F573" t="str">
        <f>"DEBT SERV-2011 SMWTP, BUDA"</f>
        <v>DEBT SERV-2011 SMWTP, BUDA</v>
      </c>
      <c r="I573" s="8">
        <v>0</v>
      </c>
      <c r="J573" s="8"/>
      <c r="K573" s="8">
        <v>0</v>
      </c>
      <c r="L573" s="8"/>
      <c r="M573" s="8">
        <f t="shared" si="136"/>
        <v>0</v>
      </c>
      <c r="P573">
        <f t="shared" si="137"/>
        <v>0</v>
      </c>
      <c r="Q573">
        <f t="shared" si="138"/>
        <v>0</v>
      </c>
      <c r="R573">
        <f t="shared" si="139"/>
        <v>0</v>
      </c>
    </row>
    <row r="574" spans="1:18" hidden="1">
      <c r="A574" t="s">
        <v>26</v>
      </c>
      <c r="B574" t="str">
        <f t="shared" si="135"/>
        <v>HIDE</v>
      </c>
      <c r="C574" t="s">
        <v>68</v>
      </c>
      <c r="D574" t="str">
        <f>"""Mission ERP"",""GBRA"",""15"",""1"",""42622"""</f>
        <v>"Mission ERP","GBRA","15","1","42622"</v>
      </c>
      <c r="E574" t="str">
        <f>"42622"</f>
        <v>42622</v>
      </c>
      <c r="F574" t="str">
        <f>"DEBT SERV-2011 SMWTP, GOFORTH"</f>
        <v>DEBT SERV-2011 SMWTP, GOFORTH</v>
      </c>
      <c r="I574" s="8">
        <v>0</v>
      </c>
      <c r="J574" s="8"/>
      <c r="K574" s="8">
        <v>0</v>
      </c>
      <c r="L574" s="8"/>
      <c r="M574" s="8">
        <f t="shared" si="136"/>
        <v>0</v>
      </c>
      <c r="P574">
        <f t="shared" si="137"/>
        <v>0</v>
      </c>
      <c r="Q574">
        <f t="shared" si="138"/>
        <v>0</v>
      </c>
      <c r="R574">
        <f t="shared" si="139"/>
        <v>0</v>
      </c>
    </row>
    <row r="575" spans="1:18" hidden="1">
      <c r="A575" t="s">
        <v>26</v>
      </c>
      <c r="B575" t="str">
        <f t="shared" si="135"/>
        <v>HIDE</v>
      </c>
      <c r="C575" t="s">
        <v>68</v>
      </c>
      <c r="D575" t="str">
        <f>"""Mission ERP"",""GBRA"",""15"",""1"",""42623"""</f>
        <v>"Mission ERP","GBRA","15","1","42623"</v>
      </c>
      <c r="E575" t="str">
        <f>"42623"</f>
        <v>42623</v>
      </c>
      <c r="F575" t="str">
        <f>"DEBT SERV-2011 SMWTP, KYLE"</f>
        <v>DEBT SERV-2011 SMWTP, KYLE</v>
      </c>
      <c r="I575" s="8">
        <v>0</v>
      </c>
      <c r="J575" s="8"/>
      <c r="K575" s="8">
        <v>0</v>
      </c>
      <c r="L575" s="8"/>
      <c r="M575" s="8">
        <f t="shared" si="136"/>
        <v>0</v>
      </c>
      <c r="P575">
        <f t="shared" si="137"/>
        <v>0</v>
      </c>
      <c r="Q575">
        <f t="shared" si="138"/>
        <v>0</v>
      </c>
      <c r="R575">
        <f t="shared" si="139"/>
        <v>0</v>
      </c>
    </row>
    <row r="576" spans="1:18" hidden="1">
      <c r="A576" t="s">
        <v>26</v>
      </c>
      <c r="B576" t="str">
        <f t="shared" si="135"/>
        <v>HIDE</v>
      </c>
      <c r="C576" t="s">
        <v>68</v>
      </c>
      <c r="D576" t="str">
        <f>"""Mission ERP"",""GBRA"",""15"",""1"",""42624"""</f>
        <v>"Mission ERP","GBRA","15","1","42624"</v>
      </c>
      <c r="E576" t="str">
        <f>"42624"</f>
        <v>42624</v>
      </c>
      <c r="F576" t="str">
        <f>"DEBT SERV-2011 SMWTP, MONARCH"</f>
        <v>DEBT SERV-2011 SMWTP, MONARCH</v>
      </c>
      <c r="I576" s="8">
        <v>0</v>
      </c>
      <c r="J576" s="8"/>
      <c r="K576" s="8">
        <v>0</v>
      </c>
      <c r="L576" s="8"/>
      <c r="M576" s="8">
        <f t="shared" si="136"/>
        <v>0</v>
      </c>
      <c r="P576">
        <f t="shared" si="137"/>
        <v>0</v>
      </c>
      <c r="Q576">
        <f t="shared" si="138"/>
        <v>0</v>
      </c>
      <c r="R576">
        <f t="shared" si="139"/>
        <v>0</v>
      </c>
    </row>
    <row r="577" spans="1:18" hidden="1">
      <c r="A577" t="s">
        <v>26</v>
      </c>
      <c r="B577" t="str">
        <f t="shared" si="135"/>
        <v>HIDE</v>
      </c>
      <c r="C577" t="s">
        <v>68</v>
      </c>
      <c r="D577" t="str">
        <f>"""Mission ERP"",""GBRA"",""15"",""1"",""42625"""</f>
        <v>"Mission ERP","GBRA","15","1","42625"</v>
      </c>
      <c r="E577" t="str">
        <f>"42625"</f>
        <v>42625</v>
      </c>
      <c r="F577" t="str">
        <f>"DEBT SERV-2011 SMWTP, SUNFIELD"</f>
        <v>DEBT SERV-2011 SMWTP, SUNFIELD</v>
      </c>
      <c r="I577" s="8">
        <v>0</v>
      </c>
      <c r="J577" s="8"/>
      <c r="K577" s="8">
        <v>0</v>
      </c>
      <c r="L577" s="8"/>
      <c r="M577" s="8">
        <f t="shared" si="136"/>
        <v>0</v>
      </c>
      <c r="P577">
        <f t="shared" si="137"/>
        <v>0</v>
      </c>
      <c r="Q577">
        <f t="shared" si="138"/>
        <v>0</v>
      </c>
      <c r="R577">
        <f t="shared" si="139"/>
        <v>0</v>
      </c>
    </row>
    <row r="578" spans="1:18" hidden="1">
      <c r="A578" t="s">
        <v>26</v>
      </c>
      <c r="B578" t="str">
        <f t="shared" si="135"/>
        <v>HIDE</v>
      </c>
      <c r="C578" t="s">
        <v>68</v>
      </c>
      <c r="D578" t="str">
        <f>"""Mission ERP"",""GBRA"",""15"",""1"",""42626"""</f>
        <v>"Mission ERP","GBRA","15","1","42626"</v>
      </c>
      <c r="E578" t="str">
        <f>"42626"</f>
        <v>42626</v>
      </c>
      <c r="F578" t="str">
        <f>"OLD-DO NOT USE, DEBT COVERAGE-2011 SMWTP"</f>
        <v>OLD-DO NOT USE, DEBT COVERAGE-2011 SMWTP</v>
      </c>
      <c r="I578" s="8">
        <v>0</v>
      </c>
      <c r="J578" s="8"/>
      <c r="K578" s="8">
        <v>0</v>
      </c>
      <c r="L578" s="8"/>
      <c r="M578" s="8">
        <f t="shared" si="136"/>
        <v>0</v>
      </c>
      <c r="P578">
        <f t="shared" si="137"/>
        <v>0</v>
      </c>
      <c r="Q578">
        <f t="shared" si="138"/>
        <v>0</v>
      </c>
      <c r="R578">
        <f t="shared" si="139"/>
        <v>0</v>
      </c>
    </row>
    <row r="579" spans="1:18">
      <c r="A579" t="s">
        <v>26</v>
      </c>
      <c r="B579" t="str">
        <f t="shared" si="135"/>
        <v>SHOW</v>
      </c>
      <c r="C579" t="s">
        <v>68</v>
      </c>
      <c r="D579" t="str">
        <f>"""Mission ERP"",""GBRA"",""15"",""1"",""42640"""</f>
        <v>"Mission ERP","GBRA","15","1","42640"</v>
      </c>
      <c r="E579" t="str">
        <f>"42640"</f>
        <v>42640</v>
      </c>
      <c r="F579" t="str">
        <f>"DEBT SERV-2013 IH35, BUDA"</f>
        <v>DEBT SERV-2013 IH35, BUDA</v>
      </c>
      <c r="I579" s="8">
        <v>167523</v>
      </c>
      <c r="J579" s="8"/>
      <c r="K579" s="8">
        <v>167523</v>
      </c>
      <c r="L579" s="8"/>
      <c r="M579" s="8">
        <f t="shared" si="136"/>
        <v>0</v>
      </c>
      <c r="P579">
        <f t="shared" si="137"/>
        <v>1</v>
      </c>
      <c r="Q579">
        <f t="shared" si="138"/>
        <v>1</v>
      </c>
      <c r="R579">
        <f t="shared" si="139"/>
        <v>2</v>
      </c>
    </row>
    <row r="580" spans="1:18">
      <c r="A580" t="s">
        <v>26</v>
      </c>
      <c r="B580" t="str">
        <f t="shared" si="135"/>
        <v>SHOW</v>
      </c>
      <c r="C580" t="s">
        <v>68</v>
      </c>
      <c r="D580" t="str">
        <f>"""Mission ERP"",""GBRA"",""15"",""1"",""42641"""</f>
        <v>"Mission ERP","GBRA","15","1","42641"</v>
      </c>
      <c r="E580" t="str">
        <f>"42641"</f>
        <v>42641</v>
      </c>
      <c r="F580" t="str">
        <f>"DEBT SERV-2013 IH35, GOFORTH"</f>
        <v>DEBT SERV-2013 IH35, GOFORTH</v>
      </c>
      <c r="I580" s="8">
        <v>551709</v>
      </c>
      <c r="J580" s="8"/>
      <c r="K580" s="8">
        <v>551709</v>
      </c>
      <c r="L580" s="8"/>
      <c r="M580" s="8">
        <f t="shared" si="136"/>
        <v>0</v>
      </c>
      <c r="P580">
        <f t="shared" si="137"/>
        <v>1</v>
      </c>
      <c r="Q580">
        <f t="shared" si="138"/>
        <v>1</v>
      </c>
      <c r="R580">
        <f t="shared" si="139"/>
        <v>2</v>
      </c>
    </row>
    <row r="581" spans="1:18">
      <c r="A581" t="s">
        <v>26</v>
      </c>
      <c r="B581" t="str">
        <f t="shared" si="135"/>
        <v>SHOW</v>
      </c>
      <c r="C581" t="s">
        <v>68</v>
      </c>
      <c r="D581" t="str">
        <f>"""Mission ERP"",""GBRA"",""15"",""1"",""42642"""</f>
        <v>"Mission ERP","GBRA","15","1","42642"</v>
      </c>
      <c r="E581" t="str">
        <f>"42642"</f>
        <v>42642</v>
      </c>
      <c r="F581" t="str">
        <f>"DEBT SERV-2013 IH35, KYLE"</f>
        <v>DEBT SERV-2013 IH35, KYLE</v>
      </c>
      <c r="I581" s="8">
        <v>542774</v>
      </c>
      <c r="J581" s="8"/>
      <c r="K581" s="8">
        <v>542774</v>
      </c>
      <c r="L581" s="8"/>
      <c r="M581" s="8">
        <f t="shared" si="136"/>
        <v>0</v>
      </c>
      <c r="P581">
        <f t="shared" si="137"/>
        <v>1</v>
      </c>
      <c r="Q581">
        <f t="shared" si="138"/>
        <v>1</v>
      </c>
      <c r="R581">
        <f t="shared" si="139"/>
        <v>2</v>
      </c>
    </row>
    <row r="582" spans="1:18">
      <c r="A582" t="s">
        <v>26</v>
      </c>
      <c r="B582" t="str">
        <f t="shared" si="135"/>
        <v>SHOW</v>
      </c>
      <c r="C582" t="s">
        <v>68</v>
      </c>
      <c r="D582" t="str">
        <f>"""Mission ERP"",""GBRA"",""15"",""1"",""42643"""</f>
        <v>"Mission ERP","GBRA","15","1","42643"</v>
      </c>
      <c r="E582" t="str">
        <f>"42643"</f>
        <v>42643</v>
      </c>
      <c r="F582" t="str">
        <f>"DEBT SERV-2013 IH35, MONARCH"</f>
        <v>DEBT SERV-2013 IH35, MONARCH</v>
      </c>
      <c r="I582" s="8">
        <v>55841</v>
      </c>
      <c r="J582" s="8"/>
      <c r="K582" s="8">
        <v>55841</v>
      </c>
      <c r="L582" s="8"/>
      <c r="M582" s="8">
        <f t="shared" si="136"/>
        <v>0</v>
      </c>
      <c r="P582">
        <f t="shared" si="137"/>
        <v>1</v>
      </c>
      <c r="Q582">
        <f t="shared" si="138"/>
        <v>1</v>
      </c>
      <c r="R582">
        <f t="shared" si="139"/>
        <v>2</v>
      </c>
    </row>
    <row r="583" spans="1:18" hidden="1">
      <c r="A583" t="s">
        <v>26</v>
      </c>
      <c r="B583" t="str">
        <f t="shared" si="135"/>
        <v>HIDE</v>
      </c>
      <c r="C583" t="s">
        <v>68</v>
      </c>
      <c r="D583" t="str">
        <f>"""Mission ERP"",""GBRA"",""15"",""1"",""42644"""</f>
        <v>"Mission ERP","GBRA","15","1","42644"</v>
      </c>
      <c r="E583" t="str">
        <f>"42644"</f>
        <v>42644</v>
      </c>
      <c r="F583" t="str">
        <f>"DEBT SERV-2013 IH35, SUNFIELD"</f>
        <v>DEBT SERV-2013 IH35, SUNFIELD</v>
      </c>
      <c r="I583" s="8">
        <v>0</v>
      </c>
      <c r="J583" s="8"/>
      <c r="K583" s="8">
        <v>0</v>
      </c>
      <c r="L583" s="8"/>
      <c r="M583" s="8">
        <f t="shared" si="136"/>
        <v>0</v>
      </c>
      <c r="P583">
        <f t="shared" si="137"/>
        <v>0</v>
      </c>
      <c r="Q583">
        <f t="shared" si="138"/>
        <v>0</v>
      </c>
      <c r="R583">
        <f t="shared" si="139"/>
        <v>0</v>
      </c>
    </row>
    <row r="584" spans="1:18" hidden="1">
      <c r="A584" t="s">
        <v>26</v>
      </c>
      <c r="B584" t="str">
        <f t="shared" si="135"/>
        <v>HIDE</v>
      </c>
      <c r="C584" t="s">
        <v>68</v>
      </c>
      <c r="D584" t="str">
        <f>"""Mission ERP"",""GBRA"",""15"",""1"",""42645"""</f>
        <v>"Mission ERP","GBRA","15","1","42645"</v>
      </c>
      <c r="E584" t="str">
        <f>"42645"</f>
        <v>42645</v>
      </c>
      <c r="F584" t="str">
        <f>"OLD-DO NOT USE, DEBT COVERAGE-2013 IH35"</f>
        <v>OLD-DO NOT USE, DEBT COVERAGE-2013 IH35</v>
      </c>
      <c r="I584" s="8">
        <v>0</v>
      </c>
      <c r="J584" s="8"/>
      <c r="K584" s="8">
        <v>0</v>
      </c>
      <c r="L584" s="8"/>
      <c r="M584" s="8">
        <f t="shared" si="136"/>
        <v>0</v>
      </c>
      <c r="P584">
        <f t="shared" si="137"/>
        <v>0</v>
      </c>
      <c r="Q584">
        <f t="shared" si="138"/>
        <v>0</v>
      </c>
      <c r="R584">
        <f t="shared" si="139"/>
        <v>0</v>
      </c>
    </row>
    <row r="585" spans="1:18" hidden="1">
      <c r="A585" t="s">
        <v>26</v>
      </c>
      <c r="B585" t="str">
        <f t="shared" si="135"/>
        <v>HIDE</v>
      </c>
      <c r="C585" t="s">
        <v>68</v>
      </c>
      <c r="D585" t="str">
        <f>"""Mission ERP"",""GBRA"",""15"",""1"",""42655"""</f>
        <v>"Mission ERP","GBRA","15","1","42655"</v>
      </c>
      <c r="E585" t="str">
        <f>"42655"</f>
        <v>42655</v>
      </c>
      <c r="F585" t="str">
        <f>"DEBT SERV-2013 WCANYON, BREMER"</f>
        <v>DEBT SERV-2013 WCANYON, BREMER</v>
      </c>
      <c r="I585" s="8">
        <v>0</v>
      </c>
      <c r="J585" s="8"/>
      <c r="K585" s="8">
        <v>0</v>
      </c>
      <c r="L585" s="8"/>
      <c r="M585" s="8">
        <f t="shared" si="136"/>
        <v>0</v>
      </c>
      <c r="P585">
        <f t="shared" si="137"/>
        <v>0</v>
      </c>
      <c r="Q585">
        <f t="shared" si="138"/>
        <v>0</v>
      </c>
      <c r="R585">
        <f t="shared" si="139"/>
        <v>0</v>
      </c>
    </row>
    <row r="586" spans="1:18" hidden="1">
      <c r="A586" t="s">
        <v>26</v>
      </c>
      <c r="B586" t="str">
        <f t="shared" si="135"/>
        <v>HIDE</v>
      </c>
      <c r="C586" t="s">
        <v>68</v>
      </c>
      <c r="D586" t="str">
        <f>"""Mission ERP"",""GBRA"",""15"",""1"",""42656"""</f>
        <v>"Mission ERP","GBRA","15","1","42656"</v>
      </c>
      <c r="E586" t="str">
        <f>"42656"</f>
        <v>42656</v>
      </c>
      <c r="F586" t="str">
        <f>"DEBT SERV-2013 WCANYON, BOERNE"</f>
        <v>DEBT SERV-2013 WCANYON, BOERNE</v>
      </c>
      <c r="I586" s="8">
        <v>0</v>
      </c>
      <c r="J586" s="8"/>
      <c r="K586" s="8">
        <v>0</v>
      </c>
      <c r="L586" s="8"/>
      <c r="M586" s="8">
        <f t="shared" si="136"/>
        <v>0</v>
      </c>
      <c r="P586">
        <f t="shared" si="137"/>
        <v>0</v>
      </c>
      <c r="Q586">
        <f t="shared" si="138"/>
        <v>0</v>
      </c>
      <c r="R586">
        <f t="shared" si="139"/>
        <v>0</v>
      </c>
    </row>
    <row r="587" spans="1:18" hidden="1">
      <c r="A587" t="s">
        <v>26</v>
      </c>
      <c r="B587" t="str">
        <f t="shared" si="135"/>
        <v>HIDE</v>
      </c>
      <c r="C587" t="s">
        <v>68</v>
      </c>
      <c r="D587" t="str">
        <f>"""Mission ERP"",""GBRA"",""15"",""1"",""42657"""</f>
        <v>"Mission ERP","GBRA","15","1","42657"</v>
      </c>
      <c r="E587" t="str">
        <f>"42657"</f>
        <v>42657</v>
      </c>
      <c r="F587" t="str">
        <f>"DEBT SERV-2013 WCANYON, CLWSC"</f>
        <v>DEBT SERV-2013 WCANYON, CLWSC</v>
      </c>
      <c r="I587" s="8">
        <v>0</v>
      </c>
      <c r="J587" s="8"/>
      <c r="K587" s="8">
        <v>0</v>
      </c>
      <c r="L587" s="8"/>
      <c r="M587" s="8">
        <f t="shared" si="136"/>
        <v>0</v>
      </c>
      <c r="P587">
        <f t="shared" si="137"/>
        <v>0</v>
      </c>
      <c r="Q587">
        <f t="shared" si="138"/>
        <v>0</v>
      </c>
      <c r="R587">
        <f t="shared" si="139"/>
        <v>0</v>
      </c>
    </row>
    <row r="588" spans="1:18" hidden="1">
      <c r="A588" t="s">
        <v>26</v>
      </c>
      <c r="B588" t="str">
        <f t="shared" si="135"/>
        <v>HIDE</v>
      </c>
      <c r="C588" t="s">
        <v>68</v>
      </c>
      <c r="D588" t="str">
        <f>"""Mission ERP"",""GBRA"",""15"",""1"",""42658"""</f>
        <v>"Mission ERP","GBRA","15","1","42658"</v>
      </c>
      <c r="E588" t="str">
        <f>"42658"</f>
        <v>42658</v>
      </c>
      <c r="F588" t="str">
        <f>"DEBT SERV-2013 WCANYON, COMAL TRACE"</f>
        <v>DEBT SERV-2013 WCANYON, COMAL TRACE</v>
      </c>
      <c r="I588" s="8">
        <v>0</v>
      </c>
      <c r="J588" s="8"/>
      <c r="K588" s="8">
        <v>0</v>
      </c>
      <c r="L588" s="8"/>
      <c r="M588" s="8">
        <f t="shared" si="136"/>
        <v>0</v>
      </c>
      <c r="P588">
        <f t="shared" si="137"/>
        <v>0</v>
      </c>
      <c r="Q588">
        <f t="shared" si="138"/>
        <v>0</v>
      </c>
      <c r="R588">
        <f t="shared" si="139"/>
        <v>0</v>
      </c>
    </row>
    <row r="589" spans="1:18" hidden="1">
      <c r="A589" t="s">
        <v>26</v>
      </c>
      <c r="B589" t="str">
        <f t="shared" si="135"/>
        <v>HIDE</v>
      </c>
      <c r="C589" t="s">
        <v>68</v>
      </c>
      <c r="D589" t="str">
        <f>"""Mission ERP"",""GBRA"",""15"",""1"",""42659"""</f>
        <v>"Mission ERP","GBRA","15","1","42659"</v>
      </c>
      <c r="E589" t="str">
        <f>"42659"</f>
        <v>42659</v>
      </c>
      <c r="F589" t="str">
        <f>"DEBT SERV-2013 WCANYON, CORDILLERA RANCH"</f>
        <v>DEBT SERV-2013 WCANYON, CORDILLERA RANCH</v>
      </c>
      <c r="I589" s="8">
        <v>0</v>
      </c>
      <c r="J589" s="8"/>
      <c r="K589" s="8">
        <v>0</v>
      </c>
      <c r="L589" s="8"/>
      <c r="M589" s="8">
        <f t="shared" si="136"/>
        <v>0</v>
      </c>
      <c r="P589">
        <f t="shared" si="137"/>
        <v>0</v>
      </c>
      <c r="Q589">
        <f t="shared" si="138"/>
        <v>0</v>
      </c>
      <c r="R589">
        <f t="shared" si="139"/>
        <v>0</v>
      </c>
    </row>
    <row r="590" spans="1:18" hidden="1">
      <c r="A590" t="s">
        <v>26</v>
      </c>
      <c r="B590" t="str">
        <f t="shared" si="135"/>
        <v>HIDE</v>
      </c>
      <c r="C590" t="s">
        <v>68</v>
      </c>
      <c r="D590" t="str">
        <f>"""Mission ERP"",""GBRA"",""15"",""1"",""42660"""</f>
        <v>"Mission ERP","GBRA","15","1","42660"</v>
      </c>
      <c r="E590" t="str">
        <f>"42660"</f>
        <v>42660</v>
      </c>
      <c r="F590" t="str">
        <f>"DEBT SERV-2013 WCANYON, COUSER"</f>
        <v>DEBT SERV-2013 WCANYON, COUSER</v>
      </c>
      <c r="I590" s="8">
        <v>0</v>
      </c>
      <c r="J590" s="8"/>
      <c r="K590" s="8">
        <v>0</v>
      </c>
      <c r="L590" s="8"/>
      <c r="M590" s="8">
        <f t="shared" si="136"/>
        <v>0</v>
      </c>
      <c r="P590">
        <f t="shared" si="137"/>
        <v>0</v>
      </c>
      <c r="Q590">
        <f t="shared" si="138"/>
        <v>0</v>
      </c>
      <c r="R590">
        <f t="shared" si="139"/>
        <v>0</v>
      </c>
    </row>
    <row r="591" spans="1:18" hidden="1">
      <c r="A591" t="s">
        <v>26</v>
      </c>
      <c r="B591" t="str">
        <f t="shared" si="135"/>
        <v>HIDE</v>
      </c>
      <c r="C591" t="s">
        <v>68</v>
      </c>
      <c r="D591" t="str">
        <f>"""Mission ERP"",""GBRA"",""15"",""1"",""42661"""</f>
        <v>"Mission ERP","GBRA","15","1","42661"</v>
      </c>
      <c r="E591" t="str">
        <f>"42661"</f>
        <v>42661</v>
      </c>
      <c r="F591" t="str">
        <f>"DEBT SERV-2013 WCANYON, FAIR OAKS"</f>
        <v>DEBT SERV-2013 WCANYON, FAIR OAKS</v>
      </c>
      <c r="I591" s="8">
        <v>0</v>
      </c>
      <c r="J591" s="8"/>
      <c r="K591" s="8">
        <v>0</v>
      </c>
      <c r="L591" s="8"/>
      <c r="M591" s="8">
        <f t="shared" si="136"/>
        <v>0</v>
      </c>
      <c r="P591">
        <f t="shared" si="137"/>
        <v>0</v>
      </c>
      <c r="Q591">
        <f t="shared" si="138"/>
        <v>0</v>
      </c>
      <c r="R591">
        <f t="shared" si="139"/>
        <v>0</v>
      </c>
    </row>
    <row r="592" spans="1:18" hidden="1">
      <c r="A592" t="s">
        <v>26</v>
      </c>
      <c r="B592" t="str">
        <f t="shared" si="135"/>
        <v>HIDE</v>
      </c>
      <c r="C592" t="s">
        <v>68</v>
      </c>
      <c r="D592" t="str">
        <f>"""Mission ERP"",""GBRA"",""15"",""1"",""42662"""</f>
        <v>"Mission ERP","GBRA","15","1","42662"</v>
      </c>
      <c r="E592" t="str">
        <f>"42662"</f>
        <v>42662</v>
      </c>
      <c r="F592" t="str">
        <f>"DEBT SERV-2013 WCANYON, JOHNSON RANCH"</f>
        <v>DEBT SERV-2013 WCANYON, JOHNSON RANCH</v>
      </c>
      <c r="I592" s="8">
        <v>0</v>
      </c>
      <c r="J592" s="8"/>
      <c r="K592" s="8">
        <v>0</v>
      </c>
      <c r="L592" s="8"/>
      <c r="M592" s="8">
        <f t="shared" si="136"/>
        <v>0</v>
      </c>
      <c r="P592">
        <f t="shared" si="137"/>
        <v>0</v>
      </c>
      <c r="Q592">
        <f t="shared" si="138"/>
        <v>0</v>
      </c>
      <c r="R592">
        <f t="shared" si="139"/>
        <v>0</v>
      </c>
    </row>
    <row r="593" spans="1:18" hidden="1">
      <c r="A593" t="s">
        <v>26</v>
      </c>
      <c r="B593" t="str">
        <f t="shared" si="135"/>
        <v>HIDE</v>
      </c>
      <c r="C593" t="s">
        <v>68</v>
      </c>
      <c r="D593" t="str">
        <f>"""Mission ERP"",""GBRA"",""15"",""1"",""42663"""</f>
        <v>"Mission ERP","GBRA","15","1","42663"</v>
      </c>
      <c r="E593" t="str">
        <f>"42663"</f>
        <v>42663</v>
      </c>
      <c r="F593" t="str">
        <f>"DEBT SERV-2013 WCANYON, MIRALOMAS"</f>
        <v>DEBT SERV-2013 WCANYON, MIRALOMAS</v>
      </c>
      <c r="I593" s="8">
        <v>0</v>
      </c>
      <c r="J593" s="8"/>
      <c r="K593" s="8">
        <v>0</v>
      </c>
      <c r="L593" s="8"/>
      <c r="M593" s="8">
        <f t="shared" si="136"/>
        <v>0</v>
      </c>
      <c r="P593">
        <f t="shared" si="137"/>
        <v>0</v>
      </c>
      <c r="Q593">
        <f t="shared" si="138"/>
        <v>0</v>
      </c>
      <c r="R593">
        <f t="shared" si="139"/>
        <v>0</v>
      </c>
    </row>
    <row r="594" spans="1:18" hidden="1">
      <c r="A594" t="s">
        <v>26</v>
      </c>
      <c r="B594" t="str">
        <f t="shared" si="135"/>
        <v>HIDE</v>
      </c>
      <c r="C594" t="s">
        <v>68</v>
      </c>
      <c r="D594" t="str">
        <f>"""Mission ERP"",""GBRA"",""15"",""1"",""42664"""</f>
        <v>"Mission ERP","GBRA","15","1","42664"</v>
      </c>
      <c r="E594" t="str">
        <f>"42664"</f>
        <v>42664</v>
      </c>
      <c r="F594" t="str">
        <f>"DEBT SERV-2013 WCANYON, SAWS"</f>
        <v>DEBT SERV-2013 WCANYON, SAWS</v>
      </c>
      <c r="I594" s="8">
        <v>0</v>
      </c>
      <c r="J594" s="8"/>
      <c r="K594" s="8">
        <v>0</v>
      </c>
      <c r="L594" s="8"/>
      <c r="M594" s="8">
        <f t="shared" si="136"/>
        <v>0</v>
      </c>
      <c r="P594">
        <f t="shared" si="137"/>
        <v>0</v>
      </c>
      <c r="Q594">
        <f t="shared" si="138"/>
        <v>0</v>
      </c>
      <c r="R594">
        <f t="shared" si="139"/>
        <v>0</v>
      </c>
    </row>
    <row r="595" spans="1:18" hidden="1">
      <c r="A595" t="s">
        <v>26</v>
      </c>
      <c r="B595" t="str">
        <f t="shared" si="135"/>
        <v>HIDE</v>
      </c>
      <c r="C595" t="s">
        <v>68</v>
      </c>
      <c r="D595" t="str">
        <f>"""Mission ERP"",""GBRA"",""15"",""1"",""42665"""</f>
        <v>"Mission ERP","GBRA","15","1","42665"</v>
      </c>
      <c r="E595" t="str">
        <f>"42665"</f>
        <v>42665</v>
      </c>
      <c r="F595" t="str">
        <f>"DEBT SERV-2013 WCANYON, KENDALL WEST"</f>
        <v>DEBT SERV-2013 WCANYON, KENDALL WEST</v>
      </c>
      <c r="I595" s="8">
        <v>0</v>
      </c>
      <c r="J595" s="8"/>
      <c r="K595" s="8">
        <v>0</v>
      </c>
      <c r="L595" s="8"/>
      <c r="M595" s="8">
        <f t="shared" si="136"/>
        <v>0</v>
      </c>
      <c r="P595">
        <f t="shared" si="137"/>
        <v>0</v>
      </c>
      <c r="Q595">
        <f t="shared" si="138"/>
        <v>0</v>
      </c>
      <c r="R595">
        <f t="shared" si="139"/>
        <v>0</v>
      </c>
    </row>
    <row r="596" spans="1:18" hidden="1">
      <c r="A596" t="s">
        <v>26</v>
      </c>
      <c r="B596" t="str">
        <f t="shared" si="135"/>
        <v>HIDE</v>
      </c>
      <c r="C596" t="s">
        <v>68</v>
      </c>
      <c r="D596" t="str">
        <f>"""Mission ERP"",""GBRA"",""15"",""1"",""42666"""</f>
        <v>"Mission ERP","GBRA","15","1","42666"</v>
      </c>
      <c r="E596" t="str">
        <f>"42666"</f>
        <v>42666</v>
      </c>
      <c r="F596" t="str">
        <f>"OLD-DO NOT USE, DEBT COVERAGE-2013 WCANYON"</f>
        <v>OLD-DO NOT USE, DEBT COVERAGE-2013 WCANYON</v>
      </c>
      <c r="I596" s="8">
        <v>0</v>
      </c>
      <c r="J596" s="8"/>
      <c r="K596" s="8">
        <v>0</v>
      </c>
      <c r="L596" s="8"/>
      <c r="M596" s="8">
        <f t="shared" si="136"/>
        <v>0</v>
      </c>
      <c r="P596">
        <f t="shared" si="137"/>
        <v>0</v>
      </c>
      <c r="Q596">
        <f t="shared" si="138"/>
        <v>0</v>
      </c>
      <c r="R596">
        <f t="shared" si="139"/>
        <v>0</v>
      </c>
    </row>
    <row r="597" spans="1:18">
      <c r="A597" t="s">
        <v>26</v>
      </c>
      <c r="B597" t="str">
        <f t="shared" si="135"/>
        <v>SHOW</v>
      </c>
      <c r="C597" t="s">
        <v>68</v>
      </c>
      <c r="D597" t="str">
        <f>"""Mission ERP"",""GBRA"",""15"",""1"",""42670"""</f>
        <v>"Mission ERP","GBRA","15","1","42670"</v>
      </c>
      <c r="E597" t="str">
        <f>"42670"</f>
        <v>42670</v>
      </c>
      <c r="F597" t="str">
        <f>"DEBT SERV-2016 SMWTP, BUDA"</f>
        <v>DEBT SERV-2016 SMWTP, BUDA</v>
      </c>
      <c r="I597" s="8">
        <v>36948</v>
      </c>
      <c r="J597" s="8"/>
      <c r="K597" s="8">
        <v>37542</v>
      </c>
      <c r="L597" s="8"/>
      <c r="M597" s="8">
        <f t="shared" si="136"/>
        <v>594</v>
      </c>
      <c r="P597">
        <f t="shared" si="137"/>
        <v>1</v>
      </c>
      <c r="Q597">
        <f t="shared" si="138"/>
        <v>1</v>
      </c>
      <c r="R597">
        <f t="shared" si="139"/>
        <v>2</v>
      </c>
    </row>
    <row r="598" spans="1:18">
      <c r="A598" t="s">
        <v>26</v>
      </c>
      <c r="B598" t="str">
        <f t="shared" si="135"/>
        <v>SHOW</v>
      </c>
      <c r="C598" t="s">
        <v>68</v>
      </c>
      <c r="D598" t="str">
        <f>"""Mission ERP"",""GBRA"",""15"",""1"",""42671"""</f>
        <v>"Mission ERP","GBRA","15","1","42671"</v>
      </c>
      <c r="E598" t="str">
        <f>"42671"</f>
        <v>42671</v>
      </c>
      <c r="F598" t="str">
        <f>"DEBT SERV-2016 SMWTP, GOFORTH"</f>
        <v>DEBT SERV-2016 SMWTP, GOFORTH</v>
      </c>
      <c r="I598" s="8">
        <v>121681</v>
      </c>
      <c r="J598" s="8"/>
      <c r="K598" s="8">
        <v>123638</v>
      </c>
      <c r="L598" s="8"/>
      <c r="M598" s="8">
        <f t="shared" si="136"/>
        <v>1957</v>
      </c>
      <c r="P598">
        <f t="shared" si="137"/>
        <v>1</v>
      </c>
      <c r="Q598">
        <f t="shared" si="138"/>
        <v>1</v>
      </c>
      <c r="R598">
        <f t="shared" si="139"/>
        <v>2</v>
      </c>
    </row>
    <row r="599" spans="1:18">
      <c r="A599" t="s">
        <v>26</v>
      </c>
      <c r="B599" t="str">
        <f t="shared" si="135"/>
        <v>SHOW</v>
      </c>
      <c r="C599" t="s">
        <v>68</v>
      </c>
      <c r="D599" t="str">
        <f>"""Mission ERP"",""GBRA"",""15"",""1"",""42672"""</f>
        <v>"Mission ERP","GBRA","15","1","42672"</v>
      </c>
      <c r="E599" t="str">
        <f>"42672"</f>
        <v>42672</v>
      </c>
      <c r="F599" t="str">
        <f>"DEBT SERV-2016 SMWTP, KYLE"</f>
        <v>DEBT SERV-2016 SMWTP, KYLE</v>
      </c>
      <c r="I599" s="8">
        <v>119710</v>
      </c>
      <c r="J599" s="8"/>
      <c r="K599" s="8">
        <v>121635</v>
      </c>
      <c r="L599" s="8"/>
      <c r="M599" s="8">
        <f t="shared" si="136"/>
        <v>1925</v>
      </c>
      <c r="P599">
        <f t="shared" si="137"/>
        <v>1</v>
      </c>
      <c r="Q599">
        <f t="shared" si="138"/>
        <v>1</v>
      </c>
      <c r="R599">
        <f t="shared" si="139"/>
        <v>2</v>
      </c>
    </row>
    <row r="600" spans="1:18">
      <c r="A600" t="s">
        <v>26</v>
      </c>
      <c r="B600" t="str">
        <f t="shared" si="135"/>
        <v>SHOW</v>
      </c>
      <c r="C600" t="s">
        <v>68</v>
      </c>
      <c r="D600" t="str">
        <f>"""Mission ERP"",""GBRA"",""15"",""1"",""42673"""</f>
        <v>"Mission ERP","GBRA","15","1","42673"</v>
      </c>
      <c r="E600" t="str">
        <f>"42673"</f>
        <v>42673</v>
      </c>
      <c r="F600" t="str">
        <f>"DEBT SERV-2016 SMWTP, MONARCH"</f>
        <v>DEBT SERV-2016 SMWTP, MONARCH</v>
      </c>
      <c r="I600" s="8">
        <v>12316</v>
      </c>
      <c r="J600" s="8"/>
      <c r="K600" s="8">
        <v>12514</v>
      </c>
      <c r="L600" s="8"/>
      <c r="M600" s="8">
        <f t="shared" si="136"/>
        <v>198</v>
      </c>
      <c r="P600">
        <f t="shared" si="137"/>
        <v>1</v>
      </c>
      <c r="Q600">
        <f t="shared" si="138"/>
        <v>1</v>
      </c>
      <c r="R600">
        <f t="shared" si="139"/>
        <v>2</v>
      </c>
    </row>
    <row r="601" spans="1:18" hidden="1">
      <c r="A601" t="s">
        <v>26</v>
      </c>
      <c r="B601" t="str">
        <f t="shared" si="135"/>
        <v>HIDE</v>
      </c>
      <c r="C601" t="s">
        <v>68</v>
      </c>
      <c r="D601" t="str">
        <f>"""Mission ERP"",""GBRA"",""15"",""1"",""42674"""</f>
        <v>"Mission ERP","GBRA","15","1","42674"</v>
      </c>
      <c r="E601" t="str">
        <f>"42674"</f>
        <v>42674</v>
      </c>
      <c r="F601" t="str">
        <f>"DEBT SERV-2016 SMWTP, SUNFIELD"</f>
        <v>DEBT SERV-2016 SMWTP, SUNFIELD</v>
      </c>
      <c r="I601" s="8">
        <v>0</v>
      </c>
      <c r="J601" s="8"/>
      <c r="K601" s="8">
        <v>0</v>
      </c>
      <c r="L601" s="8"/>
      <c r="M601" s="8">
        <f t="shared" si="136"/>
        <v>0</v>
      </c>
      <c r="P601">
        <f t="shared" si="137"/>
        <v>0</v>
      </c>
      <c r="Q601">
        <f t="shared" si="138"/>
        <v>0</v>
      </c>
      <c r="R601">
        <f t="shared" si="139"/>
        <v>0</v>
      </c>
    </row>
    <row r="602" spans="1:18" hidden="1">
      <c r="A602" t="s">
        <v>26</v>
      </c>
      <c r="B602" t="str">
        <f t="shared" si="135"/>
        <v>HIDE</v>
      </c>
      <c r="C602" t="s">
        <v>68</v>
      </c>
      <c r="D602" t="str">
        <f>"""Mission ERP"",""GBRA"",""15"",""1"",""42675"""</f>
        <v>"Mission ERP","GBRA","15","1","42675"</v>
      </c>
      <c r="E602" t="str">
        <f>"42675"</f>
        <v>42675</v>
      </c>
      <c r="F602" t="str">
        <f>"OLD-DO NOT USE, DEBT COVERAGE-2016 SMWTP"</f>
        <v>OLD-DO NOT USE, DEBT COVERAGE-2016 SMWTP</v>
      </c>
      <c r="I602" s="8">
        <v>0</v>
      </c>
      <c r="J602" s="8"/>
      <c r="K602" s="8">
        <v>0</v>
      </c>
      <c r="L602" s="8"/>
      <c r="M602" s="8">
        <f t="shared" si="136"/>
        <v>0</v>
      </c>
      <c r="P602">
        <f t="shared" si="137"/>
        <v>0</v>
      </c>
      <c r="Q602">
        <f t="shared" si="138"/>
        <v>0</v>
      </c>
      <c r="R602">
        <f t="shared" si="139"/>
        <v>0</v>
      </c>
    </row>
    <row r="603" spans="1:18" hidden="1">
      <c r="A603" t="s">
        <v>26</v>
      </c>
      <c r="B603" t="str">
        <f t="shared" si="135"/>
        <v>HIDE</v>
      </c>
      <c r="C603" t="s">
        <v>68</v>
      </c>
      <c r="D603" t="str">
        <f>"""Mission ERP"",""GBRA"",""15"",""1"",""42676"""</f>
        <v>"Mission ERP","GBRA","15","1","42676"</v>
      </c>
      <c r="E603" t="str">
        <f>"42676"</f>
        <v>42676</v>
      </c>
      <c r="F603" t="str">
        <f>"DEBT SERV-2016, PRIN AR"</f>
        <v>DEBT SERV-2016, PRIN AR</v>
      </c>
      <c r="I603" s="8">
        <v>0</v>
      </c>
      <c r="J603" s="8"/>
      <c r="K603" s="8">
        <v>0</v>
      </c>
      <c r="L603" s="8"/>
      <c r="M603" s="8">
        <f t="shared" si="136"/>
        <v>0</v>
      </c>
      <c r="P603">
        <f t="shared" si="137"/>
        <v>0</v>
      </c>
      <c r="Q603">
        <f t="shared" si="138"/>
        <v>0</v>
      </c>
      <c r="R603">
        <f t="shared" si="139"/>
        <v>0</v>
      </c>
    </row>
    <row r="604" spans="1:18">
      <c r="A604" t="s">
        <v>26</v>
      </c>
      <c r="B604" t="str">
        <f t="shared" si="135"/>
        <v>SHOW</v>
      </c>
      <c r="C604" t="s">
        <v>68</v>
      </c>
      <c r="D604" t="str">
        <f>"""Mission ERP"",""GBRA"",""15"",""1"",""42680"""</f>
        <v>"Mission ERP","GBRA","15","1","42680"</v>
      </c>
      <c r="E604" t="str">
        <f>"42680"</f>
        <v>42680</v>
      </c>
      <c r="F604" t="str">
        <f>"DEBT SERV-2020 WCANYON COMB, BOERNE"</f>
        <v>DEBT SERV-2020 WCANYON COMB, BOERNE</v>
      </c>
      <c r="I604" s="8">
        <v>905308</v>
      </c>
      <c r="J604" s="8"/>
      <c r="K604" s="8">
        <v>905308</v>
      </c>
      <c r="L604" s="8"/>
      <c r="M604" s="8">
        <f t="shared" si="136"/>
        <v>0</v>
      </c>
      <c r="P604">
        <f t="shared" si="137"/>
        <v>1</v>
      </c>
      <c r="Q604">
        <f t="shared" si="138"/>
        <v>1</v>
      </c>
      <c r="R604">
        <f t="shared" si="139"/>
        <v>2</v>
      </c>
    </row>
    <row r="605" spans="1:18">
      <c r="A605" t="s">
        <v>26</v>
      </c>
      <c r="B605" t="str">
        <f t="shared" si="135"/>
        <v>SHOW</v>
      </c>
      <c r="C605" t="s">
        <v>68</v>
      </c>
      <c r="D605" t="str">
        <f>"""Mission ERP"",""GBRA"",""15"",""1"",""42681"""</f>
        <v>"Mission ERP","GBRA","15","1","42681"</v>
      </c>
      <c r="E605" t="str">
        <f>"42681"</f>
        <v>42681</v>
      </c>
      <c r="F605" t="str">
        <f>"DEBT SERV-2020 WCANYON COMB, BREMER"</f>
        <v>DEBT SERV-2020 WCANYON COMB, BREMER</v>
      </c>
      <c r="I605" s="8">
        <v>8521</v>
      </c>
      <c r="J605" s="8"/>
      <c r="K605" s="8">
        <v>8521</v>
      </c>
      <c r="L605" s="8"/>
      <c r="M605" s="8">
        <f t="shared" si="136"/>
        <v>0</v>
      </c>
      <c r="P605">
        <f t="shared" si="137"/>
        <v>1</v>
      </c>
      <c r="Q605">
        <f t="shared" si="138"/>
        <v>1</v>
      </c>
      <c r="R605">
        <f t="shared" si="139"/>
        <v>2</v>
      </c>
    </row>
    <row r="606" spans="1:18" hidden="1">
      <c r="A606" t="s">
        <v>26</v>
      </c>
      <c r="B606" t="str">
        <f t="shared" si="135"/>
        <v>HIDE</v>
      </c>
      <c r="C606" t="s">
        <v>68</v>
      </c>
      <c r="D606" t="str">
        <f>"""Mission ERP"",""GBRA"",""15"",""1"",""42682"""</f>
        <v>"Mission ERP","GBRA","15","1","42682"</v>
      </c>
      <c r="E606" t="str">
        <f>"42682"</f>
        <v>42682</v>
      </c>
      <c r="F606" t="str">
        <f>"DEBT SERV-2020 WCANYON COMB, CLWSC-BULVERDE"</f>
        <v>DEBT SERV-2020 WCANYON COMB, CLWSC-BULVERDE</v>
      </c>
      <c r="I606" s="8">
        <v>0</v>
      </c>
      <c r="J606" s="8"/>
      <c r="K606" s="8">
        <v>0</v>
      </c>
      <c r="L606" s="8"/>
      <c r="M606" s="8">
        <f t="shared" si="136"/>
        <v>0</v>
      </c>
      <c r="P606">
        <f t="shared" si="137"/>
        <v>0</v>
      </c>
      <c r="Q606">
        <f t="shared" si="138"/>
        <v>0</v>
      </c>
      <c r="R606">
        <f t="shared" si="139"/>
        <v>0</v>
      </c>
    </row>
    <row r="607" spans="1:18">
      <c r="A607" t="s">
        <v>26</v>
      </c>
      <c r="B607" t="str">
        <f t="shared" si="135"/>
        <v>SHOW</v>
      </c>
      <c r="C607" t="s">
        <v>68</v>
      </c>
      <c r="D607" t="str">
        <f>"""Mission ERP"",""GBRA"",""15"",""1"",""42683"""</f>
        <v>"Mission ERP","GBRA","15","1","42683"</v>
      </c>
      <c r="E607" t="str">
        <f>"42683"</f>
        <v>42683</v>
      </c>
      <c r="F607" t="str">
        <f>"DEBT SERV-2020 WCANYON COMB, COMAL TRACE"</f>
        <v>DEBT SERV-2020 WCANYON COMB, COMAL TRACE</v>
      </c>
      <c r="I607" s="8">
        <v>61774</v>
      </c>
      <c r="J607" s="8"/>
      <c r="K607" s="8">
        <v>61774</v>
      </c>
      <c r="L607" s="8"/>
      <c r="M607" s="8">
        <f t="shared" si="136"/>
        <v>0</v>
      </c>
      <c r="P607">
        <f t="shared" si="137"/>
        <v>1</v>
      </c>
      <c r="Q607">
        <f t="shared" si="138"/>
        <v>1</v>
      </c>
      <c r="R607">
        <f t="shared" si="139"/>
        <v>2</v>
      </c>
    </row>
    <row r="608" spans="1:18">
      <c r="A608" t="s">
        <v>26</v>
      </c>
      <c r="B608" t="str">
        <f t="shared" si="135"/>
        <v>SHOW</v>
      </c>
      <c r="C608" t="s">
        <v>68</v>
      </c>
      <c r="D608" t="str">
        <f>"""Mission ERP"",""GBRA"",""15"",""1"",""42684"""</f>
        <v>"Mission ERP","GBRA","15","1","42684"</v>
      </c>
      <c r="E608" t="str">
        <f>"42684"</f>
        <v>42684</v>
      </c>
      <c r="F608" t="str">
        <f>"DEBT SERV-2020 WCANYON COMB, COUSER"</f>
        <v>DEBT SERV-2020 WCANYON COMB, COUSER</v>
      </c>
      <c r="I608" s="8">
        <v>8521</v>
      </c>
      <c r="J608" s="8"/>
      <c r="K608" s="8">
        <v>8521</v>
      </c>
      <c r="L608" s="8"/>
      <c r="M608" s="8">
        <f t="shared" si="136"/>
        <v>0</v>
      </c>
      <c r="P608">
        <f t="shared" si="137"/>
        <v>1</v>
      </c>
      <c r="Q608">
        <f t="shared" si="138"/>
        <v>1</v>
      </c>
      <c r="R608">
        <f t="shared" si="139"/>
        <v>2</v>
      </c>
    </row>
    <row r="609" spans="1:18">
      <c r="A609" t="s">
        <v>26</v>
      </c>
      <c r="B609" t="str">
        <f t="shared" si="135"/>
        <v>SHOW</v>
      </c>
      <c r="C609" t="s">
        <v>68</v>
      </c>
      <c r="D609" t="str">
        <f>"""Mission ERP"",""GBRA"",""15"",""1"",""42685"""</f>
        <v>"Mission ERP","GBRA","15","1","42685"</v>
      </c>
      <c r="E609" t="str">
        <f>"42685"</f>
        <v>42685</v>
      </c>
      <c r="F609" t="str">
        <f>"DEBT SERV-2020 WCANYON COMB, FAIR OAKS"</f>
        <v>DEBT SERV-2020 WCANYON COMB, FAIR OAKS</v>
      </c>
      <c r="I609" s="8">
        <v>572581</v>
      </c>
      <c r="J609" s="8"/>
      <c r="K609" s="8">
        <v>572581</v>
      </c>
      <c r="L609" s="8"/>
      <c r="M609" s="8">
        <f t="shared" si="136"/>
        <v>0</v>
      </c>
      <c r="P609">
        <f t="shared" si="137"/>
        <v>1</v>
      </c>
      <c r="Q609">
        <f t="shared" si="138"/>
        <v>1</v>
      </c>
      <c r="R609">
        <f t="shared" si="139"/>
        <v>2</v>
      </c>
    </row>
    <row r="610" spans="1:18">
      <c r="A610" t="s">
        <v>26</v>
      </c>
      <c r="B610" t="str">
        <f t="shared" si="135"/>
        <v>SHOW</v>
      </c>
      <c r="C610" t="s">
        <v>68</v>
      </c>
      <c r="D610" t="str">
        <f>"""Mission ERP"",""GBRA"",""15"",""1"",""42686"""</f>
        <v>"Mission ERP","GBRA","15","1","42686"</v>
      </c>
      <c r="E610" t="str">
        <f>"42686"</f>
        <v>42686</v>
      </c>
      <c r="F610" t="str">
        <f>"DEBT SERV-2020 WCANYON COMB, GBRA CORDILLERA"</f>
        <v>DEBT SERV-2020 WCANYON COMB, GBRA CORDILLERA</v>
      </c>
      <c r="I610" s="8">
        <v>391945</v>
      </c>
      <c r="J610" s="8"/>
      <c r="K610" s="8">
        <v>391945</v>
      </c>
      <c r="L610" s="8"/>
      <c r="M610" s="8">
        <f t="shared" si="136"/>
        <v>0</v>
      </c>
      <c r="P610">
        <f t="shared" si="137"/>
        <v>1</v>
      </c>
      <c r="Q610">
        <f t="shared" si="138"/>
        <v>1</v>
      </c>
      <c r="R610">
        <f t="shared" si="139"/>
        <v>2</v>
      </c>
    </row>
    <row r="611" spans="1:18">
      <c r="A611" t="s">
        <v>26</v>
      </c>
      <c r="B611" t="str">
        <f t="shared" si="135"/>
        <v>SHOW</v>
      </c>
      <c r="C611" t="s">
        <v>68</v>
      </c>
      <c r="D611" t="str">
        <f>"""Mission ERP"",""GBRA"",""15"",""1"",""42687"""</f>
        <v>"Mission ERP","GBRA","15","1","42687"</v>
      </c>
      <c r="E611" t="str">
        <f>"42687"</f>
        <v>42687</v>
      </c>
      <c r="F611" t="str">
        <f>"DEBT SERV-2020 WCANYON COMB, JOHNSON RANCH"</f>
        <v>DEBT SERV-2020 WCANYON COMB, JOHNSON RANCH</v>
      </c>
      <c r="I611" s="8">
        <v>234315</v>
      </c>
      <c r="J611" s="8"/>
      <c r="K611" s="8">
        <v>234315</v>
      </c>
      <c r="L611" s="8"/>
      <c r="M611" s="8">
        <f t="shared" si="136"/>
        <v>0</v>
      </c>
      <c r="P611">
        <f t="shared" si="137"/>
        <v>1</v>
      </c>
      <c r="Q611">
        <f t="shared" si="138"/>
        <v>1</v>
      </c>
      <c r="R611">
        <f t="shared" si="139"/>
        <v>2</v>
      </c>
    </row>
    <row r="612" spans="1:18">
      <c r="A612" t="s">
        <v>26</v>
      </c>
      <c r="B612" t="str">
        <f t="shared" si="135"/>
        <v>SHOW</v>
      </c>
      <c r="C612" t="s">
        <v>68</v>
      </c>
      <c r="D612" t="str">
        <f>"""Mission ERP"",""GBRA"",""15"",""1"",""42688"""</f>
        <v>"Mission ERP","GBRA","15","1","42688"</v>
      </c>
      <c r="E612" t="str">
        <f>"42688"</f>
        <v>42688</v>
      </c>
      <c r="F612" t="str">
        <f>"DEBT SERV-2020 WCANYON COMB, KENDALL WEST"</f>
        <v>DEBT SERV-2020 WCANYON COMB, KENDALL WEST</v>
      </c>
      <c r="I612" s="8">
        <v>627112</v>
      </c>
      <c r="J612" s="8"/>
      <c r="K612" s="8">
        <v>627112</v>
      </c>
      <c r="L612" s="8"/>
      <c r="M612" s="8">
        <f t="shared" si="136"/>
        <v>0</v>
      </c>
      <c r="P612">
        <f t="shared" si="137"/>
        <v>1</v>
      </c>
      <c r="Q612">
        <f t="shared" si="138"/>
        <v>1</v>
      </c>
      <c r="R612">
        <f t="shared" si="139"/>
        <v>2</v>
      </c>
    </row>
    <row r="613" spans="1:18">
      <c r="A613" t="s">
        <v>26</v>
      </c>
      <c r="B613" t="str">
        <f t="shared" si="135"/>
        <v>SHOW</v>
      </c>
      <c r="C613" t="s">
        <v>68</v>
      </c>
      <c r="D613" t="str">
        <f>"""Mission ERP"",""GBRA"",""15"",""1"",""42689"""</f>
        <v>"Mission ERP","GBRA","15","1","42689"</v>
      </c>
      <c r="E613" t="str">
        <f>"42689"</f>
        <v>42689</v>
      </c>
      <c r="F613" t="str">
        <f>"DEBT SERV-2020 WCANYON COMB, MIRALOMAS"</f>
        <v>DEBT SERV-2020 WCANYON COMB, MIRALOMAS</v>
      </c>
      <c r="I613" s="8">
        <v>95856</v>
      </c>
      <c r="J613" s="8"/>
      <c r="K613" s="8">
        <v>95856</v>
      </c>
      <c r="L613" s="8"/>
      <c r="M613" s="8">
        <f t="shared" si="136"/>
        <v>0</v>
      </c>
      <c r="P613">
        <f t="shared" si="137"/>
        <v>1</v>
      </c>
      <c r="Q613">
        <f t="shared" si="138"/>
        <v>1</v>
      </c>
      <c r="R613">
        <f t="shared" si="139"/>
        <v>2</v>
      </c>
    </row>
    <row r="614" spans="1:18">
      <c r="A614" t="s">
        <v>26</v>
      </c>
      <c r="B614" t="str">
        <f t="shared" ref="B614:B626" si="140">IF(R614=0,"HIDE","SHOW")</f>
        <v>SHOW</v>
      </c>
      <c r="C614" t="s">
        <v>68</v>
      </c>
      <c r="D614" t="str">
        <f>"""Mission ERP"",""GBRA"",""15"",""1"",""42690"""</f>
        <v>"Mission ERP","GBRA","15","1","42690"</v>
      </c>
      <c r="E614" t="str">
        <f>"42690"</f>
        <v>42690</v>
      </c>
      <c r="F614" t="str">
        <f>"DEBT SERV-2020 WCANYON COMB, SAWS"</f>
        <v>DEBT SERV-2020 WCANYON COMB, SAWS</v>
      </c>
      <c r="I614" s="8">
        <v>1865573</v>
      </c>
      <c r="J614" s="8"/>
      <c r="K614" s="8">
        <v>1865573</v>
      </c>
      <c r="L614" s="8"/>
      <c r="M614" s="8">
        <f t="shared" ref="M614:M626" si="141">K614-I614</f>
        <v>0</v>
      </c>
      <c r="P614">
        <f t="shared" ref="P614:P626" si="142">IF(I614=0,0,1)</f>
        <v>1</v>
      </c>
      <c r="Q614">
        <f t="shared" ref="Q614:Q626" si="143">IF(K614=0,0,1)</f>
        <v>1</v>
      </c>
      <c r="R614">
        <f t="shared" ref="R614:R626" si="144">P614+Q614</f>
        <v>2</v>
      </c>
    </row>
    <row r="615" spans="1:18" hidden="1">
      <c r="A615" t="s">
        <v>26</v>
      </c>
      <c r="B615" t="str">
        <f t="shared" si="140"/>
        <v>HIDE</v>
      </c>
      <c r="C615" t="s">
        <v>68</v>
      </c>
      <c r="D615" t="str">
        <f>"""Mission ERP"",""GBRA"",""15"",""1"",""42691"""</f>
        <v>"Mission ERP","GBRA","15","1","42691"</v>
      </c>
      <c r="E615" t="str">
        <f>"42691"</f>
        <v>42691</v>
      </c>
      <c r="F615" t="str">
        <f>"DEBT SERV-2020 WCANYON COMB, CLWSC-PARK VILLAGE"</f>
        <v>DEBT SERV-2020 WCANYON COMB, CLWSC-PARK VILLAGE</v>
      </c>
      <c r="I615" s="8">
        <v>0</v>
      </c>
      <c r="J615" s="8"/>
      <c r="K615" s="8">
        <v>0</v>
      </c>
      <c r="L615" s="8"/>
      <c r="M615" s="8">
        <f t="shared" si="141"/>
        <v>0</v>
      </c>
      <c r="P615">
        <f t="shared" si="142"/>
        <v>0</v>
      </c>
      <c r="Q615">
        <f t="shared" si="143"/>
        <v>0</v>
      </c>
      <c r="R615">
        <f t="shared" si="144"/>
        <v>0</v>
      </c>
    </row>
    <row r="616" spans="1:18">
      <c r="A616" t="s">
        <v>26</v>
      </c>
      <c r="B616" t="str">
        <f t="shared" si="140"/>
        <v>SHOW</v>
      </c>
      <c r="C616" t="s">
        <v>68</v>
      </c>
      <c r="D616" t="str">
        <f>"""Mission ERP"",""GBRA"",""15"",""1"",""42692"""</f>
        <v>"Mission ERP","GBRA","15","1","42692"</v>
      </c>
      <c r="E616" t="str">
        <f>"42692"</f>
        <v>42692</v>
      </c>
      <c r="F616" t="str">
        <f>"DEBT COVERAGE-2020 WCANYON COMB REF BONDS"</f>
        <v>DEBT COVERAGE-2020 WCANYON COMB REF BONDS</v>
      </c>
      <c r="I616" s="8">
        <v>477151</v>
      </c>
      <c r="J616" s="8"/>
      <c r="K616" s="8">
        <v>477091</v>
      </c>
      <c r="L616" s="8"/>
      <c r="M616" s="8">
        <f t="shared" si="141"/>
        <v>-60</v>
      </c>
      <c r="P616">
        <f t="shared" si="142"/>
        <v>1</v>
      </c>
      <c r="Q616">
        <f t="shared" si="143"/>
        <v>1</v>
      </c>
      <c r="R616">
        <f t="shared" si="144"/>
        <v>2</v>
      </c>
    </row>
    <row r="617" spans="1:18">
      <c r="A617" t="s">
        <v>26</v>
      </c>
      <c r="B617" t="str">
        <f t="shared" si="140"/>
        <v>SHOW</v>
      </c>
      <c r="C617" t="s">
        <v>68</v>
      </c>
      <c r="D617" t="str">
        <f>"""Mission ERP"",""GBRA"",""15"",""1"",""42695"""</f>
        <v>"Mission ERP","GBRA","15","1","42695"</v>
      </c>
      <c r="E617" t="str">
        <f>"42695"</f>
        <v>42695</v>
      </c>
      <c r="F617" t="str">
        <f>"DEBT SERV-CARRIZO, NBU"</f>
        <v>DEBT SERV-CARRIZO, NBU</v>
      </c>
      <c r="I617" s="8">
        <v>4587307</v>
      </c>
      <c r="J617" s="8"/>
      <c r="K617" s="8">
        <v>4792763</v>
      </c>
      <c r="L617" s="8"/>
      <c r="M617" s="8">
        <f t="shared" si="141"/>
        <v>205456</v>
      </c>
      <c r="P617">
        <f t="shared" si="142"/>
        <v>1</v>
      </c>
      <c r="Q617">
        <f t="shared" si="143"/>
        <v>1</v>
      </c>
      <c r="R617">
        <f t="shared" si="144"/>
        <v>2</v>
      </c>
    </row>
    <row r="618" spans="1:18">
      <c r="A618" t="s">
        <v>26</v>
      </c>
      <c r="B618" t="str">
        <f t="shared" si="140"/>
        <v>SHOW</v>
      </c>
      <c r="C618" t="s">
        <v>68</v>
      </c>
      <c r="D618" t="str">
        <f>"""Mission ERP"",""GBRA"",""15"",""1"",""42696"""</f>
        <v>"Mission ERP","GBRA","15","1","42696"</v>
      </c>
      <c r="E618" t="str">
        <f>"42696"</f>
        <v>42696</v>
      </c>
      <c r="F618" t="str">
        <f>"DEBT SERV-CARRIZO, GOFORTH"</f>
        <v>DEBT SERV-CARRIZO, GOFORTH</v>
      </c>
      <c r="I618" s="8">
        <v>1900882</v>
      </c>
      <c r="J618" s="8"/>
      <c r="K618" s="8">
        <v>3807160</v>
      </c>
      <c r="L618" s="8"/>
      <c r="M618" s="8">
        <f t="shared" si="141"/>
        <v>1906278</v>
      </c>
      <c r="P618">
        <f t="shared" si="142"/>
        <v>1</v>
      </c>
      <c r="Q618">
        <f t="shared" si="143"/>
        <v>1</v>
      </c>
      <c r="R618">
        <f t="shared" si="144"/>
        <v>2</v>
      </c>
    </row>
    <row r="619" spans="1:18">
      <c r="A619" t="s">
        <v>26</v>
      </c>
      <c r="B619" t="str">
        <f t="shared" si="140"/>
        <v>SHOW</v>
      </c>
      <c r="C619" t="s">
        <v>68</v>
      </c>
      <c r="D619" t="str">
        <f>"""Mission ERP"",""GBRA"",""15"",""1"",""42697"""</f>
        <v>"Mission ERP","GBRA","15","1","42697"</v>
      </c>
      <c r="E619" t="str">
        <f>"42697"</f>
        <v>42697</v>
      </c>
      <c r="F619" t="str">
        <f>"DEBT SERV-CARRIZO, LOCKHART"</f>
        <v>DEBT SERV-CARRIZO, LOCKHART</v>
      </c>
      <c r="I619" s="8">
        <v>1706205</v>
      </c>
      <c r="J619" s="8"/>
      <c r="K619" s="8">
        <v>1789589</v>
      </c>
      <c r="L619" s="8"/>
      <c r="M619" s="8">
        <f t="shared" si="141"/>
        <v>83384</v>
      </c>
      <c r="P619">
        <f t="shared" si="142"/>
        <v>1</v>
      </c>
      <c r="Q619">
        <f t="shared" si="143"/>
        <v>1</v>
      </c>
      <c r="R619">
        <f t="shared" si="144"/>
        <v>2</v>
      </c>
    </row>
    <row r="620" spans="1:18">
      <c r="A620" t="s">
        <v>26</v>
      </c>
      <c r="B620" t="str">
        <f t="shared" si="140"/>
        <v>SHOW</v>
      </c>
      <c r="C620" t="s">
        <v>68</v>
      </c>
      <c r="D620" t="str">
        <f>"""Mission ERP"",""GBRA"",""15"",""1"",""42698"""</f>
        <v>"Mission ERP","GBRA","15","1","42698"</v>
      </c>
      <c r="E620" t="str">
        <f>"42698"</f>
        <v>42698</v>
      </c>
      <c r="F620" t="str">
        <f>"DEBT SERV-CARRIZO, MAXWELL"</f>
        <v>DEBT SERV-CARRIZO, MAXWELL</v>
      </c>
      <c r="I620" s="8">
        <v>306660</v>
      </c>
      <c r="J620" s="8"/>
      <c r="K620" s="8">
        <v>1414742</v>
      </c>
      <c r="L620" s="8"/>
      <c r="M620" s="8">
        <f t="shared" si="141"/>
        <v>1108082</v>
      </c>
      <c r="P620">
        <f t="shared" si="142"/>
        <v>1</v>
      </c>
      <c r="Q620">
        <f t="shared" si="143"/>
        <v>1</v>
      </c>
      <c r="R620">
        <f t="shared" si="144"/>
        <v>2</v>
      </c>
    </row>
    <row r="621" spans="1:18">
      <c r="A621" t="s">
        <v>26</v>
      </c>
      <c r="B621" t="str">
        <f t="shared" si="140"/>
        <v>SHOW</v>
      </c>
      <c r="C621" t="s">
        <v>68</v>
      </c>
      <c r="D621" t="str">
        <f>"""Mission ERP"",""GBRA"",""15"",""1"",""42699"""</f>
        <v>"Mission ERP","GBRA","15","1","42699"</v>
      </c>
      <c r="E621" t="str">
        <f>"42699"</f>
        <v>42699</v>
      </c>
      <c r="F621" t="str">
        <f>"DEBT SERV-CARRIZO, COUNTY LINE"</f>
        <v>DEBT SERV-CARRIZO, COUNTY LINE</v>
      </c>
      <c r="I621" s="8">
        <v>476462</v>
      </c>
      <c r="J621" s="8"/>
      <c r="K621" s="8">
        <v>2263580</v>
      </c>
      <c r="L621" s="8"/>
      <c r="M621" s="8">
        <f t="shared" si="141"/>
        <v>1787118</v>
      </c>
      <c r="P621">
        <f t="shared" si="142"/>
        <v>1</v>
      </c>
      <c r="Q621">
        <f t="shared" si="143"/>
        <v>1</v>
      </c>
      <c r="R621">
        <f t="shared" si="144"/>
        <v>2</v>
      </c>
    </row>
    <row r="622" spans="1:18">
      <c r="A622" t="s">
        <v>26</v>
      </c>
      <c r="B622" t="str">
        <f t="shared" si="140"/>
        <v>SHOW</v>
      </c>
      <c r="C622" t="s">
        <v>68</v>
      </c>
      <c r="D622" t="str">
        <f>"""Mission ERP"",""GBRA"",""15"",""1"",""42790"""</f>
        <v>"Mission ERP","GBRA","15","1","42790"</v>
      </c>
      <c r="E622" t="str">
        <f>"42790"</f>
        <v>42790</v>
      </c>
      <c r="F622" t="str">
        <f>"DEBT SERV-2021 LK DUNLAP"</f>
        <v>DEBT SERV-2021 LK DUNLAP</v>
      </c>
      <c r="I622" s="8">
        <v>1453649</v>
      </c>
      <c r="J622" s="8"/>
      <c r="K622" s="8">
        <v>1458649</v>
      </c>
      <c r="L622" s="8"/>
      <c r="M622" s="8">
        <f t="shared" si="141"/>
        <v>5000</v>
      </c>
      <c r="P622">
        <f t="shared" si="142"/>
        <v>1</v>
      </c>
      <c r="Q622">
        <f t="shared" si="143"/>
        <v>1</v>
      </c>
      <c r="R622">
        <f t="shared" si="144"/>
        <v>2</v>
      </c>
    </row>
    <row r="623" spans="1:18">
      <c r="A623" t="s">
        <v>26</v>
      </c>
      <c r="B623" t="str">
        <f t="shared" si="140"/>
        <v>SHOW</v>
      </c>
      <c r="C623" t="s">
        <v>68</v>
      </c>
      <c r="D623" t="str">
        <f>"""Mission ERP"",""GBRA"",""15"",""1"",""42791"""</f>
        <v>"Mission ERP","GBRA","15","1","42791"</v>
      </c>
      <c r="E623" t="str">
        <f>"42791"</f>
        <v>42791</v>
      </c>
      <c r="F623" t="str">
        <f>"DEBT SERV-2021 LK McQUEENEY"</f>
        <v>DEBT SERV-2021 LK McQUEENEY</v>
      </c>
      <c r="I623" s="8">
        <v>1780490</v>
      </c>
      <c r="J623" s="8"/>
      <c r="K623" s="8">
        <v>1782900</v>
      </c>
      <c r="L623" s="8"/>
      <c r="M623" s="8">
        <f t="shared" si="141"/>
        <v>2410</v>
      </c>
      <c r="P623">
        <f t="shared" si="142"/>
        <v>1</v>
      </c>
      <c r="Q623">
        <f t="shared" si="143"/>
        <v>1</v>
      </c>
      <c r="R623">
        <f t="shared" si="144"/>
        <v>2</v>
      </c>
    </row>
    <row r="624" spans="1:18">
      <c r="A624" t="s">
        <v>26</v>
      </c>
      <c r="B624" t="str">
        <f t="shared" si="140"/>
        <v>SHOW</v>
      </c>
      <c r="C624" t="s">
        <v>68</v>
      </c>
      <c r="D624" t="str">
        <f>"""Mission ERP"",""GBRA"",""15"",""1"",""42792"""</f>
        <v>"Mission ERP","GBRA","15","1","42792"</v>
      </c>
      <c r="E624" t="str">
        <f>"42792"</f>
        <v>42792</v>
      </c>
      <c r="F624" t="str">
        <f>"DEBT SERV-2021,2022,2023 LK PLACID"</f>
        <v>DEBT SERV-2021,2022,2023 LK PLACID</v>
      </c>
      <c r="I624" s="8">
        <v>1794765</v>
      </c>
      <c r="J624" s="8"/>
      <c r="K624" s="8">
        <v>1805003</v>
      </c>
      <c r="L624" s="8"/>
      <c r="M624" s="8">
        <f t="shared" si="141"/>
        <v>10238</v>
      </c>
      <c r="P624">
        <f t="shared" si="142"/>
        <v>1</v>
      </c>
      <c r="Q624">
        <f t="shared" si="143"/>
        <v>1</v>
      </c>
      <c r="R624">
        <f t="shared" si="144"/>
        <v>2</v>
      </c>
    </row>
    <row r="625" spans="1:18" hidden="1">
      <c r="A625" t="s">
        <v>26</v>
      </c>
      <c r="B625" t="str">
        <f t="shared" si="140"/>
        <v>HIDE</v>
      </c>
      <c r="C625" t="s">
        <v>68</v>
      </c>
      <c r="D625" t="str">
        <f>"""Mission ERP"",""GBRA"",""15"",""1"",""42793"""</f>
        <v>"Mission ERP","GBRA","15","1","42793"</v>
      </c>
      <c r="E625" t="str">
        <f>"42793"</f>
        <v>42793</v>
      </c>
      <c r="F625" t="str">
        <f>"open"</f>
        <v>open</v>
      </c>
      <c r="I625" s="8">
        <v>0</v>
      </c>
      <c r="J625" s="8"/>
      <c r="K625" s="8">
        <v>0</v>
      </c>
      <c r="L625" s="8"/>
      <c r="M625" s="8">
        <f t="shared" si="141"/>
        <v>0</v>
      </c>
      <c r="P625">
        <f t="shared" si="142"/>
        <v>0</v>
      </c>
      <c r="Q625">
        <f t="shared" si="143"/>
        <v>0</v>
      </c>
      <c r="R625">
        <f t="shared" si="144"/>
        <v>0</v>
      </c>
    </row>
    <row r="626" spans="1:18">
      <c r="A626" t="s">
        <v>26</v>
      </c>
      <c r="B626" t="str">
        <f t="shared" si="140"/>
        <v>SHOW</v>
      </c>
      <c r="C626" t="s">
        <v>68</v>
      </c>
      <c r="D626" t="str">
        <f>"""Mission ERP"",""GBRA"",""15"",""1"",""42794"""</f>
        <v>"Mission ERP","GBRA","15","1","42794"</v>
      </c>
      <c r="E626" t="str">
        <f>"42794"</f>
        <v>42794</v>
      </c>
      <c r="F626" t="str">
        <f>"DEBT SERV-2022 SWBARRIER, CANAL OPS"</f>
        <v>DEBT SERV-2022 SWBARRIER, CANAL OPS</v>
      </c>
      <c r="I626" s="8">
        <v>82538</v>
      </c>
      <c r="J626" s="8"/>
      <c r="K626" s="8">
        <v>82538</v>
      </c>
      <c r="L626" s="8"/>
      <c r="M626" s="8">
        <f t="shared" si="141"/>
        <v>0</v>
      </c>
      <c r="P626">
        <f t="shared" si="142"/>
        <v>1</v>
      </c>
      <c r="Q626">
        <f t="shared" si="143"/>
        <v>1</v>
      </c>
      <c r="R626">
        <f t="shared" si="144"/>
        <v>2</v>
      </c>
    </row>
    <row r="627" spans="1:18" hidden="1">
      <c r="B627" t="s">
        <v>16</v>
      </c>
      <c r="I627" s="9"/>
      <c r="J627" s="8"/>
      <c r="K627" s="9"/>
      <c r="L627" s="13"/>
      <c r="M627" s="9"/>
    </row>
    <row r="628" spans="1:18">
      <c r="B628" t="str">
        <f>IF(R628=0,"HIDE","SHOW")</f>
        <v>SHOW</v>
      </c>
      <c r="F628" s="3" t="str">
        <f>CONCATENATE("Total ",F548)</f>
        <v>Total Capacity Charge Revenue</v>
      </c>
      <c r="I628" s="10">
        <f>SUM(I549:I627)</f>
        <v>22506925</v>
      </c>
      <c r="J628" s="11"/>
      <c r="K628" s="10">
        <f>SUM(K549:K627)</f>
        <v>27577324</v>
      </c>
      <c r="L628" s="12"/>
      <c r="M628" s="10">
        <f>K628-I628</f>
        <v>5070399</v>
      </c>
      <c r="P628">
        <f>IF(I628=0,0,1)</f>
        <v>1</v>
      </c>
      <c r="Q628">
        <f>IF(K628=0,0,1)</f>
        <v>1</v>
      </c>
      <c r="R628">
        <f>P628+Q628</f>
        <v>2</v>
      </c>
    </row>
    <row r="629" spans="1:18">
      <c r="B629" t="str">
        <f>B628</f>
        <v>SHOW</v>
      </c>
      <c r="I629" s="8"/>
      <c r="J629" s="8"/>
      <c r="K629" s="8"/>
      <c r="L629" s="8"/>
      <c r="M629" s="8"/>
    </row>
    <row r="630" spans="1:18" hidden="1">
      <c r="B630" t="str">
        <f>B660</f>
        <v>HIDE</v>
      </c>
      <c r="F630" s="3" t="s">
        <v>69</v>
      </c>
      <c r="I630" s="8"/>
      <c r="J630" s="8"/>
      <c r="K630" s="8"/>
      <c r="L630" s="8"/>
      <c r="M630" s="8"/>
    </row>
    <row r="631" spans="1:18" hidden="1">
      <c r="B631" t="str">
        <f>IF(R631=0,"HIDE","SHOW")</f>
        <v>HIDE</v>
      </c>
      <c r="C631" t="s">
        <v>70</v>
      </c>
      <c r="D631" t="str">
        <f>"""Mission ERP"",""GBRA"",""15"",""1"",""12233"""</f>
        <v>"Mission ERP","GBRA","15","1","12233"</v>
      </c>
      <c r="E631" t="str">
        <f>"12233"</f>
        <v>12233</v>
      </c>
      <c r="F631" t="str">
        <f>"OLD-DO NOT USE, I/F LOAN PAID-RUD DIVISION"</f>
        <v>OLD-DO NOT USE, I/F LOAN PAID-RUD DIVISION</v>
      </c>
      <c r="I631" s="8">
        <v>0</v>
      </c>
      <c r="J631" s="8"/>
      <c r="K631" s="8">
        <v>0</v>
      </c>
      <c r="L631" s="8"/>
      <c r="M631" s="8">
        <f>K631-I631</f>
        <v>0</v>
      </c>
      <c r="P631">
        <f>IF(I631=0,0,1)</f>
        <v>0</v>
      </c>
      <c r="Q631">
        <f>IF(K631=0,0,1)</f>
        <v>0</v>
      </c>
      <c r="R631">
        <f>P631+Q631</f>
        <v>0</v>
      </c>
    </row>
    <row r="632" spans="1:18" hidden="1">
      <c r="A632" t="s">
        <v>26</v>
      </c>
      <c r="B632" t="str">
        <f t="shared" ref="B632:B658" si="145">IF(R632=0,"HIDE","SHOW")</f>
        <v>HIDE</v>
      </c>
      <c r="C632" t="s">
        <v>70</v>
      </c>
      <c r="D632" t="str">
        <f>"""Mission ERP"",""GBRA"",""15"",""1"",""12500"""</f>
        <v>"Mission ERP","GBRA","15","1","12500"</v>
      </c>
      <c r="E632" t="str">
        <f>"12500"</f>
        <v>12500</v>
      </c>
      <c r="F632" t="str">
        <f>"A/R Internal"</f>
        <v>A/R Internal</v>
      </c>
      <c r="I632" s="8">
        <v>0</v>
      </c>
      <c r="J632" s="8"/>
      <c r="K632" s="8">
        <v>0</v>
      </c>
      <c r="L632" s="8"/>
      <c r="M632" s="8">
        <f t="shared" ref="M632:M658" si="146">K632-I632</f>
        <v>0</v>
      </c>
      <c r="P632">
        <f t="shared" ref="P632:P658" si="147">IF(I632=0,0,1)</f>
        <v>0</v>
      </c>
      <c r="Q632">
        <f t="shared" ref="Q632:Q658" si="148">IF(K632=0,0,1)</f>
        <v>0</v>
      </c>
      <c r="R632">
        <f t="shared" ref="R632:R658" si="149">P632+Q632</f>
        <v>0</v>
      </c>
    </row>
    <row r="633" spans="1:18" hidden="1">
      <c r="A633" t="s">
        <v>26</v>
      </c>
      <c r="B633" t="str">
        <f t="shared" si="145"/>
        <v>HIDE</v>
      </c>
      <c r="C633" t="s">
        <v>70</v>
      </c>
      <c r="D633" t="str">
        <f>"""Mission ERP"",""GBRA"",""15"",""1"",""12530"""</f>
        <v>"Mission ERP","GBRA","15","1","12530"</v>
      </c>
      <c r="E633" t="str">
        <f>"12530"</f>
        <v>12530</v>
      </c>
      <c r="F633" t="str">
        <f>"I/F LOAN PAID-HYDRO DIVISION"</f>
        <v>I/F LOAN PAID-HYDRO DIVISION</v>
      </c>
      <c r="I633" s="8">
        <v>0</v>
      </c>
      <c r="J633" s="8"/>
      <c r="K633" s="8">
        <v>0</v>
      </c>
      <c r="L633" s="8"/>
      <c r="M633" s="8">
        <f t="shared" si="146"/>
        <v>0</v>
      </c>
      <c r="P633">
        <f t="shared" si="147"/>
        <v>0</v>
      </c>
      <c r="Q633">
        <f t="shared" si="148"/>
        <v>0</v>
      </c>
      <c r="R633">
        <f t="shared" si="149"/>
        <v>0</v>
      </c>
    </row>
    <row r="634" spans="1:18" hidden="1">
      <c r="A634" t="s">
        <v>26</v>
      </c>
      <c r="B634" t="str">
        <f t="shared" si="145"/>
        <v>HIDE</v>
      </c>
      <c r="C634" t="s">
        <v>70</v>
      </c>
      <c r="D634" t="str">
        <f>"""Mission ERP"",""GBRA"",""15"",""1"",""12531"""</f>
        <v>"Mission ERP","GBRA","15","1","12531"</v>
      </c>
      <c r="E634" t="str">
        <f>"12531"</f>
        <v>12531</v>
      </c>
      <c r="F634" t="str">
        <f>"I/F LOAN-CANYON PARK"</f>
        <v>I/F LOAN-CANYON PARK</v>
      </c>
      <c r="I634" s="8">
        <v>0</v>
      </c>
      <c r="J634" s="8"/>
      <c r="K634" s="8">
        <v>0</v>
      </c>
      <c r="L634" s="8"/>
      <c r="M634" s="8">
        <f t="shared" si="146"/>
        <v>0</v>
      </c>
      <c r="P634">
        <f t="shared" si="147"/>
        <v>0</v>
      </c>
      <c r="Q634">
        <f t="shared" si="148"/>
        <v>0</v>
      </c>
      <c r="R634">
        <f t="shared" si="149"/>
        <v>0</v>
      </c>
    </row>
    <row r="635" spans="1:18">
      <c r="A635" t="s">
        <v>26</v>
      </c>
      <c r="B635" t="str">
        <f t="shared" si="145"/>
        <v>SHOW</v>
      </c>
      <c r="C635" t="s">
        <v>70</v>
      </c>
      <c r="D635" t="str">
        <f>"""Mission ERP"",""GBRA"",""15"",""1"",""12532"""</f>
        <v>"Mission ERP","GBRA","15","1","12532"</v>
      </c>
      <c r="E635" t="str">
        <f>"12532"</f>
        <v>12532</v>
      </c>
      <c r="F635" t="str">
        <f>"I/F LOAN PAID-STEIN FALLS"</f>
        <v>I/F LOAN PAID-STEIN FALLS</v>
      </c>
      <c r="I635" s="8">
        <v>800000</v>
      </c>
      <c r="J635" s="8"/>
      <c r="K635" s="8">
        <v>800000</v>
      </c>
      <c r="L635" s="8"/>
      <c r="M635" s="8">
        <f t="shared" si="146"/>
        <v>0</v>
      </c>
      <c r="P635">
        <f t="shared" si="147"/>
        <v>1</v>
      </c>
      <c r="Q635">
        <f t="shared" si="148"/>
        <v>1</v>
      </c>
      <c r="R635">
        <f t="shared" si="149"/>
        <v>2</v>
      </c>
    </row>
    <row r="636" spans="1:18" hidden="1">
      <c r="A636" t="s">
        <v>26</v>
      </c>
      <c r="B636" t="str">
        <f t="shared" si="145"/>
        <v>HIDE</v>
      </c>
      <c r="C636" t="s">
        <v>70</v>
      </c>
      <c r="D636" t="str">
        <f>"""Mission ERP"",""GBRA"",""15"",""1"",""12533"""</f>
        <v>"Mission ERP","GBRA","15","1","12533"</v>
      </c>
      <c r="E636" t="str">
        <f>"12533"</f>
        <v>12533</v>
      </c>
      <c r="F636" t="str">
        <f>"I/F LOAN-SUNFIELD"</f>
        <v>I/F LOAN-SUNFIELD</v>
      </c>
      <c r="I636" s="8">
        <v>0</v>
      </c>
      <c r="J636" s="8"/>
      <c r="K636" s="8">
        <v>0</v>
      </c>
      <c r="L636" s="8"/>
      <c r="M636" s="8">
        <f t="shared" si="146"/>
        <v>0</v>
      </c>
      <c r="P636">
        <f t="shared" si="147"/>
        <v>0</v>
      </c>
      <c r="Q636">
        <f t="shared" si="148"/>
        <v>0</v>
      </c>
      <c r="R636">
        <f t="shared" si="149"/>
        <v>0</v>
      </c>
    </row>
    <row r="637" spans="1:18" hidden="1">
      <c r="A637" t="s">
        <v>26</v>
      </c>
      <c r="B637" t="str">
        <f t="shared" si="145"/>
        <v>HIDE</v>
      </c>
      <c r="C637" t="s">
        <v>70</v>
      </c>
      <c r="D637" t="str">
        <f>"""Mission ERP"",""GBRA"",""15"",""1"",""12534"""</f>
        <v>"Mission ERP","GBRA","15","1","12534"</v>
      </c>
      <c r="E637" t="str">
        <f>"12534"</f>
        <v>12534</v>
      </c>
      <c r="F637" t="str">
        <f>"I/F LOAN PAID-CANAL"</f>
        <v>I/F LOAN PAID-CANAL</v>
      </c>
      <c r="I637" s="8">
        <v>0</v>
      </c>
      <c r="J637" s="8"/>
      <c r="K637" s="8">
        <v>0</v>
      </c>
      <c r="L637" s="8"/>
      <c r="M637" s="8">
        <f t="shared" si="146"/>
        <v>0</v>
      </c>
      <c r="P637">
        <f t="shared" si="147"/>
        <v>0</v>
      </c>
      <c r="Q637">
        <f t="shared" si="148"/>
        <v>0</v>
      </c>
      <c r="R637">
        <f t="shared" si="149"/>
        <v>0</v>
      </c>
    </row>
    <row r="638" spans="1:18" hidden="1">
      <c r="A638" t="s">
        <v>26</v>
      </c>
      <c r="B638" t="str">
        <f t="shared" si="145"/>
        <v>HIDE</v>
      </c>
      <c r="C638" t="s">
        <v>70</v>
      </c>
      <c r="D638" t="str">
        <f>"""Mission ERP"",""GBRA"",""15"",""1"",""12535"""</f>
        <v>"Mission ERP","GBRA","15","1","12535"</v>
      </c>
      <c r="E638" t="str">
        <f>"12535"</f>
        <v>12535</v>
      </c>
      <c r="F638" t="str">
        <f>"I/F LOAN-SAN MARCOS"</f>
        <v>I/F LOAN-SAN MARCOS</v>
      </c>
      <c r="I638" s="8">
        <v>0</v>
      </c>
      <c r="J638" s="8"/>
      <c r="K638" s="8">
        <v>0</v>
      </c>
      <c r="L638" s="8"/>
      <c r="M638" s="8">
        <f t="shared" si="146"/>
        <v>0</v>
      </c>
      <c r="P638">
        <f t="shared" si="147"/>
        <v>0</v>
      </c>
      <c r="Q638">
        <f t="shared" si="148"/>
        <v>0</v>
      </c>
      <c r="R638">
        <f t="shared" si="149"/>
        <v>0</v>
      </c>
    </row>
    <row r="639" spans="1:18" hidden="1">
      <c r="A639" t="s">
        <v>26</v>
      </c>
      <c r="B639" t="str">
        <f t="shared" si="145"/>
        <v>HIDE</v>
      </c>
      <c r="C639" t="s">
        <v>70</v>
      </c>
      <c r="D639" t="str">
        <f>"""Mission ERP"",""GBRA"",""15"",""1"",""12536"""</f>
        <v>"Mission ERP","GBRA","15","1","12536"</v>
      </c>
      <c r="E639" t="str">
        <f>"12536"</f>
        <v>12536</v>
      </c>
      <c r="F639" t="str">
        <f>"I/F LOAN-BUDA"</f>
        <v>I/F LOAN-BUDA</v>
      </c>
      <c r="I639" s="8">
        <v>0</v>
      </c>
      <c r="J639" s="8"/>
      <c r="K639" s="8">
        <v>0</v>
      </c>
      <c r="L639" s="8"/>
      <c r="M639" s="8">
        <f t="shared" si="146"/>
        <v>0</v>
      </c>
      <c r="P639">
        <f t="shared" si="147"/>
        <v>0</v>
      </c>
      <c r="Q639">
        <f t="shared" si="148"/>
        <v>0</v>
      </c>
      <c r="R639">
        <f t="shared" si="149"/>
        <v>0</v>
      </c>
    </row>
    <row r="640" spans="1:18" hidden="1">
      <c r="A640" t="s">
        <v>26</v>
      </c>
      <c r="B640" t="str">
        <f t="shared" si="145"/>
        <v>HIDE</v>
      </c>
      <c r="C640" t="s">
        <v>70</v>
      </c>
      <c r="D640" t="str">
        <f>"""Mission ERP"",""GBRA"",""15"",""1"",""12537"""</f>
        <v>"Mission ERP","GBRA","15","1","12537"</v>
      </c>
      <c r="E640" t="str">
        <f>"12537"</f>
        <v>12537</v>
      </c>
      <c r="F640" t="str">
        <f>"I/F LOAN-GCGW"</f>
        <v>I/F LOAN-GCGW</v>
      </c>
      <c r="I640" s="8">
        <v>0</v>
      </c>
      <c r="J640" s="8"/>
      <c r="K640" s="8">
        <v>0</v>
      </c>
      <c r="L640" s="8"/>
      <c r="M640" s="8">
        <f t="shared" si="146"/>
        <v>0</v>
      </c>
      <c r="P640">
        <f t="shared" si="147"/>
        <v>0</v>
      </c>
      <c r="Q640">
        <f t="shared" si="148"/>
        <v>0</v>
      </c>
      <c r="R640">
        <f t="shared" si="149"/>
        <v>0</v>
      </c>
    </row>
    <row r="641" spans="1:18" hidden="1">
      <c r="A641" t="s">
        <v>26</v>
      </c>
      <c r="B641" t="str">
        <f t="shared" si="145"/>
        <v>HIDE</v>
      </c>
      <c r="C641" t="s">
        <v>70</v>
      </c>
      <c r="D641" t="str">
        <f>"""Mission ERP"",""GBRA"",""15"",""1"",""12538"""</f>
        <v>"Mission ERP","GBRA","15","1","12538"</v>
      </c>
      <c r="E641" t="str">
        <f>"12538"</f>
        <v>12538</v>
      </c>
      <c r="F641" t="str">
        <f>"I/F LOAN PAID-WESTERN CANYON DIV"</f>
        <v>I/F LOAN PAID-WESTERN CANYON DIV</v>
      </c>
      <c r="I641" s="8">
        <v>0</v>
      </c>
      <c r="J641" s="8"/>
      <c r="K641" s="8">
        <v>0</v>
      </c>
      <c r="L641" s="8"/>
      <c r="M641" s="8">
        <f t="shared" si="146"/>
        <v>0</v>
      </c>
      <c r="P641">
        <f t="shared" si="147"/>
        <v>0</v>
      </c>
      <c r="Q641">
        <f t="shared" si="148"/>
        <v>0</v>
      </c>
      <c r="R641">
        <f t="shared" si="149"/>
        <v>0</v>
      </c>
    </row>
    <row r="642" spans="1:18" hidden="1">
      <c r="A642" t="s">
        <v>26</v>
      </c>
      <c r="B642" t="str">
        <f t="shared" si="145"/>
        <v>HIDE</v>
      </c>
      <c r="C642" t="s">
        <v>70</v>
      </c>
      <c r="D642" t="str">
        <f>"""Mission ERP"",""GBRA"",""15"",""1"",""12539"""</f>
        <v>"Mission ERP","GBRA","15","1","12539"</v>
      </c>
      <c r="E642" t="str">
        <f>"12539"</f>
        <v>12539</v>
      </c>
      <c r="F642" t="str">
        <f>"I/F LOAN-4S RANCH"</f>
        <v>I/F LOAN-4S RANCH</v>
      </c>
      <c r="I642" s="8">
        <v>0</v>
      </c>
      <c r="J642" s="8"/>
      <c r="K642" s="8">
        <v>0</v>
      </c>
      <c r="L642" s="8"/>
      <c r="M642" s="8">
        <f t="shared" si="146"/>
        <v>0</v>
      </c>
      <c r="P642">
        <f t="shared" si="147"/>
        <v>0</v>
      </c>
      <c r="Q642">
        <f t="shared" si="148"/>
        <v>0</v>
      </c>
      <c r="R642">
        <f t="shared" si="149"/>
        <v>0</v>
      </c>
    </row>
    <row r="643" spans="1:18" hidden="1">
      <c r="A643" t="s">
        <v>26</v>
      </c>
      <c r="B643" t="str">
        <f t="shared" si="145"/>
        <v>HIDE</v>
      </c>
      <c r="C643" t="s">
        <v>70</v>
      </c>
      <c r="D643" t="str">
        <f>"""Mission ERP"",""GBRA"",""15"",""1"",""12540"""</f>
        <v>"Mission ERP","GBRA","15","1","12540"</v>
      </c>
      <c r="E643" t="str">
        <f>"12540"</f>
        <v>12540</v>
      </c>
      <c r="F643" t="str">
        <f>"I/F LOAN-CORDILLERA WTR"</f>
        <v>I/F LOAN-CORDILLERA WTR</v>
      </c>
      <c r="I643" s="8">
        <v>0</v>
      </c>
      <c r="J643" s="8"/>
      <c r="K643" s="8">
        <v>0</v>
      </c>
      <c r="L643" s="8"/>
      <c r="M643" s="8">
        <f t="shared" si="146"/>
        <v>0</v>
      </c>
      <c r="P643">
        <f t="shared" si="147"/>
        <v>0</v>
      </c>
      <c r="Q643">
        <f t="shared" si="148"/>
        <v>0</v>
      </c>
      <c r="R643">
        <f t="shared" si="149"/>
        <v>0</v>
      </c>
    </row>
    <row r="644" spans="1:18" hidden="1">
      <c r="A644" t="s">
        <v>26</v>
      </c>
      <c r="B644" t="str">
        <f t="shared" si="145"/>
        <v>HIDE</v>
      </c>
      <c r="C644" t="s">
        <v>70</v>
      </c>
      <c r="D644" t="str">
        <f>"""Mission ERP"",""GBRA"",""15"",""1"",""12541"""</f>
        <v>"Mission ERP","GBRA","15","1","12541"</v>
      </c>
      <c r="E644" t="str">
        <f>"12541"</f>
        <v>12541</v>
      </c>
      <c r="F644" t="str">
        <f>"I/F LOAN-CORDILLERA WW"</f>
        <v>I/F LOAN-CORDILLERA WW</v>
      </c>
      <c r="I644" s="8">
        <v>0</v>
      </c>
      <c r="J644" s="8"/>
      <c r="K644" s="8">
        <v>0</v>
      </c>
      <c r="L644" s="8"/>
      <c r="M644" s="8">
        <f t="shared" si="146"/>
        <v>0</v>
      </c>
      <c r="P644">
        <f t="shared" si="147"/>
        <v>0</v>
      </c>
      <c r="Q644">
        <f t="shared" si="148"/>
        <v>0</v>
      </c>
      <c r="R644">
        <f t="shared" si="149"/>
        <v>0</v>
      </c>
    </row>
    <row r="645" spans="1:18" hidden="1">
      <c r="A645" t="s">
        <v>26</v>
      </c>
      <c r="B645" t="str">
        <f t="shared" si="145"/>
        <v>HIDE</v>
      </c>
      <c r="C645" t="s">
        <v>70</v>
      </c>
      <c r="D645" t="str">
        <f>"""Mission ERP"",""GBRA"",""15"",""1"",""12542"""</f>
        <v>"Mission ERP","GBRA","15","1","12542"</v>
      </c>
      <c r="E645" t="str">
        <f>"12542"</f>
        <v>12542</v>
      </c>
      <c r="F645" t="str">
        <f>"I/F LOAN-COMAL TRACE"</f>
        <v>I/F LOAN-COMAL TRACE</v>
      </c>
      <c r="I645" s="8">
        <v>0</v>
      </c>
      <c r="J645" s="8"/>
      <c r="K645" s="8">
        <v>0</v>
      </c>
      <c r="L645" s="8"/>
      <c r="M645" s="8">
        <f t="shared" si="146"/>
        <v>0</v>
      </c>
      <c r="P645">
        <f t="shared" si="147"/>
        <v>0</v>
      </c>
      <c r="Q645">
        <f t="shared" si="148"/>
        <v>0</v>
      </c>
      <c r="R645">
        <f t="shared" si="149"/>
        <v>0</v>
      </c>
    </row>
    <row r="646" spans="1:18" hidden="1">
      <c r="A646" t="s">
        <v>26</v>
      </c>
      <c r="B646" t="str">
        <f t="shared" si="145"/>
        <v>HIDE</v>
      </c>
      <c r="C646" t="s">
        <v>70</v>
      </c>
      <c r="D646" t="str">
        <f>"""Mission ERP"",""GBRA"",""15"",""1"",""12543"""</f>
        <v>"Mission ERP","GBRA","15","1","12543"</v>
      </c>
      <c r="E646" t="str">
        <f>"12543"</f>
        <v>12543</v>
      </c>
      <c r="F646" t="str">
        <f>"I/F LOAN-JOHNSON RANCH WTR"</f>
        <v>I/F LOAN-JOHNSON RANCH WTR</v>
      </c>
      <c r="I646" s="8">
        <v>0</v>
      </c>
      <c r="J646" s="8"/>
      <c r="K646" s="8">
        <v>0</v>
      </c>
      <c r="L646" s="8"/>
      <c r="M646" s="8">
        <f t="shared" si="146"/>
        <v>0</v>
      </c>
      <c r="P646">
        <f t="shared" si="147"/>
        <v>0</v>
      </c>
      <c r="Q646">
        <f t="shared" si="148"/>
        <v>0</v>
      </c>
      <c r="R646">
        <f t="shared" si="149"/>
        <v>0</v>
      </c>
    </row>
    <row r="647" spans="1:18" hidden="1">
      <c r="A647" t="s">
        <v>26</v>
      </c>
      <c r="B647" t="str">
        <f t="shared" si="145"/>
        <v>HIDE</v>
      </c>
      <c r="C647" t="s">
        <v>70</v>
      </c>
      <c r="D647" t="str">
        <f>"""Mission ERP"",""GBRA"",""15"",""1"",""12544"""</f>
        <v>"Mission ERP","GBRA","15","1","12544"</v>
      </c>
      <c r="E647" t="str">
        <f>"12544"</f>
        <v>12544</v>
      </c>
      <c r="F647" t="str">
        <f>"I/F LOAN-JOHNSON RANCH WW"</f>
        <v>I/F LOAN-JOHNSON RANCH WW</v>
      </c>
      <c r="I647" s="8">
        <v>0</v>
      </c>
      <c r="J647" s="8"/>
      <c r="K647" s="8">
        <v>0</v>
      </c>
      <c r="L647" s="8"/>
      <c r="M647" s="8">
        <f t="shared" si="146"/>
        <v>0</v>
      </c>
      <c r="P647">
        <f t="shared" si="147"/>
        <v>0</v>
      </c>
      <c r="Q647">
        <f t="shared" si="148"/>
        <v>0</v>
      </c>
      <c r="R647">
        <f t="shared" si="149"/>
        <v>0</v>
      </c>
    </row>
    <row r="648" spans="1:18" hidden="1">
      <c r="A648" t="s">
        <v>26</v>
      </c>
      <c r="B648" t="str">
        <f t="shared" si="145"/>
        <v>HIDE</v>
      </c>
      <c r="C648" t="s">
        <v>70</v>
      </c>
      <c r="D648" t="str">
        <f>"""Mission ERP"",""GBRA"",""15"",""1"",""12545"""</f>
        <v>"Mission ERP","GBRA","15","1","12545"</v>
      </c>
      <c r="E648" t="str">
        <f>"12545"</f>
        <v>12545</v>
      </c>
      <c r="F648" t="str">
        <f>"I/F LOAN-SINGING HILLS BULVERDE"</f>
        <v>I/F LOAN-SINGING HILLS BULVERDE</v>
      </c>
      <c r="I648" s="8">
        <v>0</v>
      </c>
      <c r="J648" s="8"/>
      <c r="K648" s="8">
        <v>0</v>
      </c>
      <c r="L648" s="8"/>
      <c r="M648" s="8">
        <f t="shared" si="146"/>
        <v>0</v>
      </c>
      <c r="P648">
        <f t="shared" si="147"/>
        <v>0</v>
      </c>
      <c r="Q648">
        <f t="shared" si="148"/>
        <v>0</v>
      </c>
      <c r="R648">
        <f t="shared" si="149"/>
        <v>0</v>
      </c>
    </row>
    <row r="649" spans="1:18" hidden="1">
      <c r="A649" t="s">
        <v>26</v>
      </c>
      <c r="B649" t="str">
        <f t="shared" si="145"/>
        <v>HIDE</v>
      </c>
      <c r="C649" t="s">
        <v>70</v>
      </c>
      <c r="D649" t="str">
        <f>"""Mission ERP"",""GBRA"",""15"",""1"",""12546"""</f>
        <v>"Mission ERP","GBRA","15","1","12546"</v>
      </c>
      <c r="E649" t="str">
        <f>"12546"</f>
        <v>12546</v>
      </c>
      <c r="F649" t="str">
        <f>"I/F LOAN-PARK VILLAGE"</f>
        <v>I/F LOAN-PARK VILLAGE</v>
      </c>
      <c r="I649" s="8">
        <v>0</v>
      </c>
      <c r="J649" s="8"/>
      <c r="K649" s="8">
        <v>0</v>
      </c>
      <c r="L649" s="8"/>
      <c r="M649" s="8">
        <f t="shared" si="146"/>
        <v>0</v>
      </c>
      <c r="P649">
        <f t="shared" si="147"/>
        <v>0</v>
      </c>
      <c r="Q649">
        <f t="shared" si="148"/>
        <v>0</v>
      </c>
      <c r="R649">
        <f t="shared" si="149"/>
        <v>0</v>
      </c>
    </row>
    <row r="650" spans="1:18" hidden="1">
      <c r="A650" t="s">
        <v>26</v>
      </c>
      <c r="B650" t="str">
        <f t="shared" si="145"/>
        <v>HIDE</v>
      </c>
      <c r="C650" t="s">
        <v>70</v>
      </c>
      <c r="D650" t="str">
        <f>"""Mission ERP"",""GBRA"",""15"",""1"",""12547"""</f>
        <v>"Mission ERP","GBRA","15","1","12547"</v>
      </c>
      <c r="E650" t="str">
        <f>"12547"</f>
        <v>12547</v>
      </c>
      <c r="F650" t="str">
        <f>"I/F LOAN PAID-PORT LAVACA WTP"</f>
        <v>I/F LOAN PAID-PORT LAVACA WTP</v>
      </c>
      <c r="I650" s="8">
        <v>0</v>
      </c>
      <c r="J650" s="8"/>
      <c r="K650" s="8">
        <v>0</v>
      </c>
      <c r="L650" s="8"/>
      <c r="M650" s="8">
        <f t="shared" si="146"/>
        <v>0</v>
      </c>
      <c r="P650">
        <f t="shared" si="147"/>
        <v>0</v>
      </c>
      <c r="Q650">
        <f t="shared" si="148"/>
        <v>0</v>
      </c>
      <c r="R650">
        <f t="shared" si="149"/>
        <v>0</v>
      </c>
    </row>
    <row r="651" spans="1:18" hidden="1">
      <c r="A651" t="s">
        <v>26</v>
      </c>
      <c r="B651" t="str">
        <f t="shared" si="145"/>
        <v>HIDE</v>
      </c>
      <c r="C651" t="s">
        <v>70</v>
      </c>
      <c r="D651" t="str">
        <f>"""Mission ERP"",""GBRA"",""15"",""1"",""12548"""</f>
        <v>"Mission ERP","GBRA","15","1","12548"</v>
      </c>
      <c r="E651" t="str">
        <f>"12548"</f>
        <v>12548</v>
      </c>
      <c r="F651" t="str">
        <f>"I/F LOAN PAID-RURAL WATER"</f>
        <v>I/F LOAN PAID-RURAL WATER</v>
      </c>
      <c r="I651" s="8">
        <v>0</v>
      </c>
      <c r="J651" s="8"/>
      <c r="K651" s="8">
        <v>0</v>
      </c>
      <c r="L651" s="8"/>
      <c r="M651" s="8">
        <f t="shared" si="146"/>
        <v>0</v>
      </c>
      <c r="P651">
        <f t="shared" si="147"/>
        <v>0</v>
      </c>
      <c r="Q651">
        <f t="shared" si="148"/>
        <v>0</v>
      </c>
      <c r="R651">
        <f t="shared" si="149"/>
        <v>0</v>
      </c>
    </row>
    <row r="652" spans="1:18" hidden="1">
      <c r="A652" t="s">
        <v>26</v>
      </c>
      <c r="B652" t="str">
        <f t="shared" si="145"/>
        <v>HIDE</v>
      </c>
      <c r="C652" t="s">
        <v>70</v>
      </c>
      <c r="D652" t="str">
        <f>"""Mission ERP"",""GBRA"",""15"",""1"",""12549"""</f>
        <v>"Mission ERP","GBRA","15","1","12549"</v>
      </c>
      <c r="E652" t="str">
        <f>"12549"</f>
        <v>12549</v>
      </c>
      <c r="F652" t="str">
        <f>"I/F LOAN PAID-COLETO CREEK RES"</f>
        <v>I/F LOAN PAID-COLETO CREEK RES</v>
      </c>
      <c r="I652" s="8">
        <v>0</v>
      </c>
      <c r="J652" s="8"/>
      <c r="K652" s="8">
        <v>0</v>
      </c>
      <c r="L652" s="8"/>
      <c r="M652" s="8">
        <f t="shared" si="146"/>
        <v>0</v>
      </c>
      <c r="P652">
        <f t="shared" si="147"/>
        <v>0</v>
      </c>
      <c r="Q652">
        <f t="shared" si="148"/>
        <v>0</v>
      </c>
      <c r="R652">
        <f t="shared" si="149"/>
        <v>0</v>
      </c>
    </row>
    <row r="653" spans="1:18" hidden="1">
      <c r="A653" t="s">
        <v>26</v>
      </c>
      <c r="B653" t="str">
        <f t="shared" si="145"/>
        <v>HIDE</v>
      </c>
      <c r="C653" t="s">
        <v>70</v>
      </c>
      <c r="D653" t="str">
        <f>"""Mission ERP"",""GBRA"",""15"",""1"",""12550"""</f>
        <v>"Mission ERP","GBRA","15","1","12550"</v>
      </c>
      <c r="E653" t="str">
        <f>"12550"</f>
        <v>12550</v>
      </c>
      <c r="F653" t="str">
        <f>"I/F LOAN PAID-COLETO CREEK REC"</f>
        <v>I/F LOAN PAID-COLETO CREEK REC</v>
      </c>
      <c r="I653" s="8">
        <v>0</v>
      </c>
      <c r="J653" s="8"/>
      <c r="K653" s="8">
        <v>0</v>
      </c>
      <c r="L653" s="8"/>
      <c r="M653" s="8">
        <f t="shared" si="146"/>
        <v>0</v>
      </c>
      <c r="P653">
        <f t="shared" si="147"/>
        <v>0</v>
      </c>
      <c r="Q653">
        <f t="shared" si="148"/>
        <v>0</v>
      </c>
      <c r="R653">
        <f t="shared" si="149"/>
        <v>0</v>
      </c>
    </row>
    <row r="654" spans="1:18" hidden="1">
      <c r="A654" t="s">
        <v>26</v>
      </c>
      <c r="B654" t="str">
        <f t="shared" si="145"/>
        <v>HIDE</v>
      </c>
      <c r="C654" t="s">
        <v>70</v>
      </c>
      <c r="D654" t="str">
        <f>"""Mission ERP"",""GBRA"",""15"",""1"",""12551"""</f>
        <v>"Mission ERP","GBRA","15","1","12551"</v>
      </c>
      <c r="E654" t="str">
        <f>"12551"</f>
        <v>12551</v>
      </c>
      <c r="F654" t="str">
        <f>"I/F LOAN PAID-LULING"</f>
        <v>I/F LOAN PAID-LULING</v>
      </c>
      <c r="I654" s="8">
        <v>0</v>
      </c>
      <c r="J654" s="8"/>
      <c r="K654" s="8">
        <v>0</v>
      </c>
      <c r="L654" s="8"/>
      <c r="M654" s="8">
        <f t="shared" si="146"/>
        <v>0</v>
      </c>
      <c r="P654">
        <f t="shared" si="147"/>
        <v>0</v>
      </c>
      <c r="Q654">
        <f t="shared" si="148"/>
        <v>0</v>
      </c>
      <c r="R654">
        <f t="shared" si="149"/>
        <v>0</v>
      </c>
    </row>
    <row r="655" spans="1:18" hidden="1">
      <c r="A655" t="s">
        <v>26</v>
      </c>
      <c r="B655" t="str">
        <f t="shared" si="145"/>
        <v>HIDE</v>
      </c>
      <c r="C655" t="s">
        <v>70</v>
      </c>
      <c r="D655" t="str">
        <f>"""Mission ERP"",""GBRA"",""15"",""1"",""12552"""</f>
        <v>"Mission ERP","GBRA","15","1","12552"</v>
      </c>
      <c r="E655" t="str">
        <f>"12552"</f>
        <v>12552</v>
      </c>
      <c r="F655" t="str">
        <f>"I/F LOAN PAID-CANYON HYDRO"</f>
        <v>I/F LOAN PAID-CANYON HYDRO</v>
      </c>
      <c r="I655" s="8">
        <v>0</v>
      </c>
      <c r="J655" s="8"/>
      <c r="K655" s="8">
        <v>0</v>
      </c>
      <c r="L655" s="8"/>
      <c r="M655" s="8">
        <f t="shared" si="146"/>
        <v>0</v>
      </c>
      <c r="P655">
        <f t="shared" si="147"/>
        <v>0</v>
      </c>
      <c r="Q655">
        <f t="shared" si="148"/>
        <v>0</v>
      </c>
      <c r="R655">
        <f t="shared" si="149"/>
        <v>0</v>
      </c>
    </row>
    <row r="656" spans="1:18" hidden="1">
      <c r="A656" t="s">
        <v>26</v>
      </c>
      <c r="B656" t="str">
        <f t="shared" si="145"/>
        <v>HIDE</v>
      </c>
      <c r="C656" t="s">
        <v>70</v>
      </c>
      <c r="D656" t="str">
        <f>"""Mission ERP"",""GBRA"",""15"",""1"",""12553"""</f>
        <v>"Mission ERP","GBRA","15","1","12553"</v>
      </c>
      <c r="E656" t="str">
        <f>"12553"</f>
        <v>12553</v>
      </c>
      <c r="F656" t="str">
        <f>"I/F LOAN PAID-LOCKHART WWTP"</f>
        <v>I/F LOAN PAID-LOCKHART WWTP</v>
      </c>
      <c r="I656" s="8">
        <v>0</v>
      </c>
      <c r="J656" s="8"/>
      <c r="K656" s="8">
        <v>0</v>
      </c>
      <c r="L656" s="8"/>
      <c r="M656" s="8">
        <f t="shared" si="146"/>
        <v>0</v>
      </c>
      <c r="P656">
        <f t="shared" si="147"/>
        <v>0</v>
      </c>
      <c r="Q656">
        <f t="shared" si="148"/>
        <v>0</v>
      </c>
      <c r="R656">
        <f t="shared" si="149"/>
        <v>0</v>
      </c>
    </row>
    <row r="657" spans="1:18" hidden="1">
      <c r="A657" t="s">
        <v>26</v>
      </c>
      <c r="B657" t="str">
        <f t="shared" si="145"/>
        <v>HIDE</v>
      </c>
      <c r="C657" t="s">
        <v>70</v>
      </c>
      <c r="D657" t="str">
        <f>"""Mission ERP"",""GBRA"",""15"",""1"",""12554"""</f>
        <v>"Mission ERP","GBRA","15","1","12554"</v>
      </c>
      <c r="E657" t="str">
        <f>"12554"</f>
        <v>12554</v>
      </c>
      <c r="F657" t="str">
        <f>"I/F LOAN PAID-LOCKHART WTP"</f>
        <v>I/F LOAN PAID-LOCKHART WTP</v>
      </c>
      <c r="I657" s="8">
        <v>0</v>
      </c>
      <c r="J657" s="8"/>
      <c r="K657" s="8">
        <v>0</v>
      </c>
      <c r="L657" s="8"/>
      <c r="M657" s="8">
        <f t="shared" si="146"/>
        <v>0</v>
      </c>
      <c r="P657">
        <f t="shared" si="147"/>
        <v>0</v>
      </c>
      <c r="Q657">
        <f t="shared" si="148"/>
        <v>0</v>
      </c>
      <c r="R657">
        <f t="shared" si="149"/>
        <v>0</v>
      </c>
    </row>
    <row r="658" spans="1:18">
      <c r="A658" t="s">
        <v>26</v>
      </c>
      <c r="B658" t="str">
        <f t="shared" si="145"/>
        <v>SHOW</v>
      </c>
      <c r="C658" t="s">
        <v>70</v>
      </c>
      <c r="D658" t="str">
        <f>"""Mission ERP"",""GBRA"",""15"",""1"",""24201"""</f>
        <v>"Mission ERP","GBRA","15","1","24201"</v>
      </c>
      <c r="E658" t="str">
        <f>"24201"</f>
        <v>24201</v>
      </c>
      <c r="F658" t="str">
        <f>"I/F LOAN-GENERAL"</f>
        <v>I/F LOAN-GENERAL</v>
      </c>
      <c r="I658" s="8">
        <v>-800000</v>
      </c>
      <c r="J658" s="8"/>
      <c r="K658" s="8">
        <v>-800000</v>
      </c>
      <c r="L658" s="8"/>
      <c r="M658" s="8">
        <f t="shared" si="146"/>
        <v>0</v>
      </c>
      <c r="P658">
        <f t="shared" si="147"/>
        <v>1</v>
      </c>
      <c r="Q658">
        <f t="shared" si="148"/>
        <v>1</v>
      </c>
      <c r="R658">
        <f t="shared" si="149"/>
        <v>2</v>
      </c>
    </row>
    <row r="659" spans="1:18" hidden="1">
      <c r="B659" t="s">
        <v>16</v>
      </c>
      <c r="I659" s="9"/>
      <c r="J659" s="8"/>
      <c r="K659" s="9"/>
      <c r="L659" s="8"/>
      <c r="M659" s="9"/>
    </row>
    <row r="660" spans="1:18" hidden="1">
      <c r="B660" t="str">
        <f>IF(R660=0,"HIDE","SHOW")</f>
        <v>HIDE</v>
      </c>
      <c r="F660" s="3" t="str">
        <f>CONCATENATE("Total ",F630)</f>
        <v>Total Internal Loan Revenue</v>
      </c>
      <c r="I660" s="10">
        <f>SUM(I631:I659)</f>
        <v>0</v>
      </c>
      <c r="J660" s="11"/>
      <c r="K660" s="10">
        <f>SUM(K631:K659)</f>
        <v>0</v>
      </c>
      <c r="L660" s="11"/>
      <c r="M660" s="10">
        <f>K660-I660</f>
        <v>0</v>
      </c>
      <c r="P660">
        <f>IF(I660=0,0,1)</f>
        <v>0</v>
      </c>
      <c r="Q660">
        <f>IF(K660=0,0,1)</f>
        <v>0</v>
      </c>
      <c r="R660">
        <f>P660+Q660</f>
        <v>0</v>
      </c>
    </row>
    <row r="661" spans="1:18" hidden="1">
      <c r="B661" t="str">
        <f>B660</f>
        <v>HIDE</v>
      </c>
      <c r="I661" s="8"/>
      <c r="J661" s="8"/>
      <c r="K661" s="8"/>
      <c r="L661" s="8"/>
      <c r="M661" s="8"/>
    </row>
    <row r="662" spans="1:18">
      <c r="B662" t="str">
        <f>IF(R662=0,"HIDE","SHOW")</f>
        <v>SHOW</v>
      </c>
      <c r="F662" s="3" t="s">
        <v>71</v>
      </c>
      <c r="I662" s="15">
        <f>I628+I660</f>
        <v>22506925</v>
      </c>
      <c r="J662" s="11"/>
      <c r="K662" s="15">
        <f>K628+K660</f>
        <v>27577324</v>
      </c>
      <c r="L662" s="11"/>
      <c r="M662" s="15">
        <f>K662-I662</f>
        <v>5070399</v>
      </c>
      <c r="P662">
        <f>IF(I662=0,0,1)</f>
        <v>1</v>
      </c>
      <c r="Q662">
        <f>IF(K662=0,0,1)</f>
        <v>1</v>
      </c>
      <c r="R662">
        <f>P662+Q662</f>
        <v>2</v>
      </c>
    </row>
    <row r="663" spans="1:18">
      <c r="B663" t="str">
        <f>B546</f>
        <v>SHOW</v>
      </c>
      <c r="I663" s="8"/>
      <c r="J663" s="8"/>
      <c r="K663" s="8"/>
      <c r="L663" s="8"/>
      <c r="M663" s="8"/>
    </row>
    <row r="664" spans="1:18">
      <c r="B664" t="str">
        <f>B546</f>
        <v>SHOW</v>
      </c>
      <c r="I664" s="8"/>
      <c r="J664" s="8"/>
      <c r="K664" s="8"/>
      <c r="L664" s="8"/>
      <c r="M664" s="8"/>
    </row>
    <row r="665" spans="1:18">
      <c r="B665" t="str">
        <f>B736</f>
        <v>SHOW</v>
      </c>
      <c r="F665" s="3" t="s">
        <v>72</v>
      </c>
      <c r="I665" s="8"/>
      <c r="J665" s="8"/>
      <c r="K665" s="8"/>
      <c r="L665" s="8"/>
      <c r="M665" s="8"/>
    </row>
    <row r="666" spans="1:18">
      <c r="B666" t="str">
        <f>IF(R666=0,"HIDE","SHOW")</f>
        <v>SHOW</v>
      </c>
      <c r="C666" t="s">
        <v>73</v>
      </c>
      <c r="D666" t="str">
        <f>"""Mission ERP"",""GBRA"",""15"",""1"",""21101"""</f>
        <v>"Mission ERP","GBRA","15","1","21101"</v>
      </c>
      <c r="E666" t="str">
        <f>"21101"</f>
        <v>21101</v>
      </c>
      <c r="F666" t="str">
        <f>"LOAN-1977 CORP OF ENGINEERS"</f>
        <v>LOAN-1977 CORP OF ENGINEERS</v>
      </c>
      <c r="I666" s="8">
        <v>299519</v>
      </c>
      <c r="J666" s="8"/>
      <c r="K666" s="8">
        <v>75339</v>
      </c>
      <c r="L666" s="8"/>
      <c r="M666" s="8">
        <f>K666-I666</f>
        <v>-224180</v>
      </c>
      <c r="P666">
        <f>IF(I666=0,0,1)</f>
        <v>1</v>
      </c>
      <c r="Q666">
        <f>IF(K666=0,0,1)</f>
        <v>1</v>
      </c>
      <c r="R666">
        <f>P666+Q666</f>
        <v>2</v>
      </c>
    </row>
    <row r="667" spans="1:18" hidden="1">
      <c r="A667" t="s">
        <v>26</v>
      </c>
      <c r="B667" t="str">
        <f t="shared" ref="B667:B730" si="150">IF(R667=0,"HIDE","SHOW")</f>
        <v>HIDE</v>
      </c>
      <c r="C667" t="s">
        <v>73</v>
      </c>
      <c r="D667" t="str">
        <f>"""Mission ERP"",""GBRA"",""15"",""1"",""21102"""</f>
        <v>"Mission ERP","GBRA","15","1","21102"</v>
      </c>
      <c r="E667" t="str">
        <f>"21102"</f>
        <v>21102</v>
      </c>
      <c r="F667" t="str">
        <f>"OLD-DO NOT USE, LOAN-2006 OFFICE EXP, JPMorgan"</f>
        <v>OLD-DO NOT USE, LOAN-2006 OFFICE EXP, JPMorgan</v>
      </c>
      <c r="I667" s="8">
        <v>0</v>
      </c>
      <c r="J667" s="8"/>
      <c r="K667" s="8">
        <v>0</v>
      </c>
      <c r="L667" s="8"/>
      <c r="M667" s="8">
        <f t="shared" ref="M667:M730" si="151">K667-I667</f>
        <v>0</v>
      </c>
      <c r="P667">
        <f t="shared" ref="P667:P730" si="152">IF(I667=0,0,1)</f>
        <v>0</v>
      </c>
      <c r="Q667">
        <f t="shared" ref="Q667:Q730" si="153">IF(K667=0,0,1)</f>
        <v>0</v>
      </c>
      <c r="R667">
        <f t="shared" ref="R667:R730" si="154">P667+Q667</f>
        <v>0</v>
      </c>
    </row>
    <row r="668" spans="1:18" hidden="1">
      <c r="A668" t="s">
        <v>26</v>
      </c>
      <c r="B668" t="str">
        <f t="shared" si="150"/>
        <v>HIDE</v>
      </c>
      <c r="C668" t="s">
        <v>73</v>
      </c>
      <c r="D668" t="str">
        <f>"""Mission ERP"",""GBRA"",""15"",""1"",""21103"""</f>
        <v>"Mission ERP","GBRA","15","1","21103"</v>
      </c>
      <c r="E668" t="str">
        <f>"21103"</f>
        <v>21103</v>
      </c>
      <c r="F668" t="str">
        <f>"OLD-DO NOT USE, LOAN-2006 WTR RIGHTS, Luling Found"</f>
        <v>OLD-DO NOT USE, LOAN-2006 WTR RIGHTS, Luling Found</v>
      </c>
      <c r="I668" s="8">
        <v>0</v>
      </c>
      <c r="J668" s="8"/>
      <c r="K668" s="8">
        <v>0</v>
      </c>
      <c r="L668" s="8"/>
      <c r="M668" s="8">
        <f t="shared" si="151"/>
        <v>0</v>
      </c>
      <c r="P668">
        <f t="shared" si="152"/>
        <v>0</v>
      </c>
      <c r="Q668">
        <f t="shared" si="153"/>
        <v>0</v>
      </c>
      <c r="R668">
        <f t="shared" si="154"/>
        <v>0</v>
      </c>
    </row>
    <row r="669" spans="1:18" hidden="1">
      <c r="A669" t="s">
        <v>26</v>
      </c>
      <c r="B669" t="str">
        <f t="shared" si="150"/>
        <v>HIDE</v>
      </c>
      <c r="C669" t="s">
        <v>73</v>
      </c>
      <c r="D669" t="str">
        <f>"""Mission ERP"",""GBRA"",""15"",""1"",""21104"""</f>
        <v>"Mission ERP","GBRA","15","1","21104"</v>
      </c>
      <c r="E669" t="str">
        <f>"21104"</f>
        <v>21104</v>
      </c>
      <c r="F669" t="str">
        <f>"OLD-DO NOT USE, LOAN-2006 WTR RIGHTS, Ussery"</f>
        <v>OLD-DO NOT USE, LOAN-2006 WTR RIGHTS, Ussery</v>
      </c>
      <c r="I669" s="8">
        <v>0</v>
      </c>
      <c r="J669" s="8"/>
      <c r="K669" s="8">
        <v>0</v>
      </c>
      <c r="L669" s="8"/>
      <c r="M669" s="8">
        <f t="shared" si="151"/>
        <v>0</v>
      </c>
      <c r="P669">
        <f t="shared" si="152"/>
        <v>0</v>
      </c>
      <c r="Q669">
        <f t="shared" si="153"/>
        <v>0</v>
      </c>
      <c r="R669">
        <f t="shared" si="154"/>
        <v>0</v>
      </c>
    </row>
    <row r="670" spans="1:18" hidden="1">
      <c r="A670" t="s">
        <v>26</v>
      </c>
      <c r="B670" t="str">
        <f t="shared" si="150"/>
        <v>HIDE</v>
      </c>
      <c r="C670" t="s">
        <v>73</v>
      </c>
      <c r="D670" t="str">
        <f>"""Mission ERP"",""GBRA"",""15"",""1"",""21105"""</f>
        <v>"Mission ERP","GBRA","15","1","21105"</v>
      </c>
      <c r="E670" t="str">
        <f>"21105"</f>
        <v>21105</v>
      </c>
      <c r="F670" t="str">
        <f>"LOAN-2008 CLEARWELL, Frost"</f>
        <v>LOAN-2008 CLEARWELL, Frost</v>
      </c>
      <c r="I670" s="8">
        <v>0</v>
      </c>
      <c r="J670" s="8"/>
      <c r="K670" s="8">
        <v>0</v>
      </c>
      <c r="L670" s="8"/>
      <c r="M670" s="8">
        <f t="shared" si="151"/>
        <v>0</v>
      </c>
      <c r="P670">
        <f t="shared" si="152"/>
        <v>0</v>
      </c>
      <c r="Q670">
        <f t="shared" si="153"/>
        <v>0</v>
      </c>
      <c r="R670">
        <f t="shared" si="154"/>
        <v>0</v>
      </c>
    </row>
    <row r="671" spans="1:18" hidden="1">
      <c r="A671" t="s">
        <v>26</v>
      </c>
      <c r="B671" t="str">
        <f t="shared" si="150"/>
        <v>HIDE</v>
      </c>
      <c r="C671" t="s">
        <v>73</v>
      </c>
      <c r="D671" t="str">
        <f>"""Mission ERP"",""GBRA"",""15"",""1"",""21106"""</f>
        <v>"Mission ERP","GBRA","15","1","21106"</v>
      </c>
      <c r="E671" t="str">
        <f>"21106"</f>
        <v>21106</v>
      </c>
      <c r="F671" t="str">
        <f>"LOAN-2012 STEIN FALLS EXP, Regions"</f>
        <v>LOAN-2012 STEIN FALLS EXP, Regions</v>
      </c>
      <c r="I671" s="8">
        <v>0</v>
      </c>
      <c r="J671" s="8"/>
      <c r="K671" s="8">
        <v>0</v>
      </c>
      <c r="L671" s="8"/>
      <c r="M671" s="8">
        <f t="shared" si="151"/>
        <v>0</v>
      </c>
      <c r="P671">
        <f t="shared" si="152"/>
        <v>0</v>
      </c>
      <c r="Q671">
        <f t="shared" si="153"/>
        <v>0</v>
      </c>
      <c r="R671">
        <f t="shared" si="154"/>
        <v>0</v>
      </c>
    </row>
    <row r="672" spans="1:18" hidden="1">
      <c r="A672" t="s">
        <v>26</v>
      </c>
      <c r="B672" t="str">
        <f t="shared" si="150"/>
        <v>HIDE</v>
      </c>
      <c r="C672" t="s">
        <v>73</v>
      </c>
      <c r="D672" t="str">
        <f>"""Mission ERP"",""GBRA"",""15"",""1"",""21107"""</f>
        <v>"Mission ERP","GBRA","15","1","21107"</v>
      </c>
      <c r="E672" t="str">
        <f>"21107"</f>
        <v>21107</v>
      </c>
      <c r="F672" t="str">
        <f>"OLD-DO NOT USE, LOAN-2014 GENERATOR, Regions"</f>
        <v>OLD-DO NOT USE, LOAN-2014 GENERATOR, Regions</v>
      </c>
      <c r="I672" s="8">
        <v>0</v>
      </c>
      <c r="J672" s="8"/>
      <c r="K672" s="8">
        <v>0</v>
      </c>
      <c r="L672" s="8"/>
      <c r="M672" s="8">
        <f t="shared" si="151"/>
        <v>0</v>
      </c>
      <c r="P672">
        <f t="shared" si="152"/>
        <v>0</v>
      </c>
      <c r="Q672">
        <f t="shared" si="153"/>
        <v>0</v>
      </c>
      <c r="R672">
        <f t="shared" si="154"/>
        <v>0</v>
      </c>
    </row>
    <row r="673" spans="1:18" hidden="1">
      <c r="A673" t="s">
        <v>26</v>
      </c>
      <c r="B673" t="str">
        <f t="shared" si="150"/>
        <v>HIDE</v>
      </c>
      <c r="C673" t="s">
        <v>73</v>
      </c>
      <c r="D673" t="str">
        <f>"""Mission ERP"",""GBRA"",""15"",""1"",""21108"""</f>
        <v>"Mission ERP","GBRA","15","1","21108"</v>
      </c>
      <c r="E673" t="str">
        <f>"21108"</f>
        <v>21108</v>
      </c>
      <c r="F673" t="str">
        <f>"OLD-DO NOT USE, LOAN-2014 GENERATOR, Regions"</f>
        <v>OLD-DO NOT USE, LOAN-2014 GENERATOR, Regions</v>
      </c>
      <c r="I673" s="8">
        <v>0</v>
      </c>
      <c r="J673" s="8"/>
      <c r="K673" s="8">
        <v>0</v>
      </c>
      <c r="L673" s="8"/>
      <c r="M673" s="8">
        <f t="shared" si="151"/>
        <v>0</v>
      </c>
      <c r="P673">
        <f t="shared" si="152"/>
        <v>0</v>
      </c>
      <c r="Q673">
        <f t="shared" si="153"/>
        <v>0</v>
      </c>
      <c r="R673">
        <f t="shared" si="154"/>
        <v>0</v>
      </c>
    </row>
    <row r="674" spans="1:18" hidden="1">
      <c r="A674" t="s">
        <v>26</v>
      </c>
      <c r="B674" t="str">
        <f t="shared" si="150"/>
        <v>HIDE</v>
      </c>
      <c r="C674" t="s">
        <v>73</v>
      </c>
      <c r="D674" t="str">
        <f>"""Mission ERP"",""GBRA"",""15"",""1"",""21109"""</f>
        <v>"Mission ERP","GBRA","15","1","21109"</v>
      </c>
      <c r="E674" t="str">
        <f>"21109"</f>
        <v>21109</v>
      </c>
      <c r="F674" t="str">
        <f>"LOAN-2016 GENERATOR, WFargo"</f>
        <v>LOAN-2016 GENERATOR, WFargo</v>
      </c>
      <c r="I674" s="8">
        <v>0</v>
      </c>
      <c r="J674" s="8"/>
      <c r="K674" s="8">
        <v>0</v>
      </c>
      <c r="L674" s="8"/>
      <c r="M674" s="8">
        <f t="shared" si="151"/>
        <v>0</v>
      </c>
      <c r="P674">
        <f t="shared" si="152"/>
        <v>0</v>
      </c>
      <c r="Q674">
        <f t="shared" si="153"/>
        <v>0</v>
      </c>
      <c r="R674">
        <f t="shared" si="154"/>
        <v>0</v>
      </c>
    </row>
    <row r="675" spans="1:18" hidden="1">
      <c r="A675" t="s">
        <v>26</v>
      </c>
      <c r="B675" t="str">
        <f t="shared" si="150"/>
        <v>HIDE</v>
      </c>
      <c r="C675" t="s">
        <v>73</v>
      </c>
      <c r="D675" t="str">
        <f>"""Mission ERP"",""GBRA"",""15"",""1"",""21110"""</f>
        <v>"Mission ERP","GBRA","15","1","21110"</v>
      </c>
      <c r="E675" t="str">
        <f>"21110"</f>
        <v>21110</v>
      </c>
      <c r="F675" t="str">
        <f>"LOAN-2016 PRESS/TRUCK, WFargo"</f>
        <v>LOAN-2016 PRESS/TRUCK, WFargo</v>
      </c>
      <c r="I675" s="8">
        <v>0</v>
      </c>
      <c r="J675" s="8"/>
      <c r="K675" s="8">
        <v>0</v>
      </c>
      <c r="L675" s="8"/>
      <c r="M675" s="8">
        <f t="shared" si="151"/>
        <v>0</v>
      </c>
      <c r="P675">
        <f t="shared" si="152"/>
        <v>0</v>
      </c>
      <c r="Q675">
        <f t="shared" si="153"/>
        <v>0</v>
      </c>
      <c r="R675">
        <f t="shared" si="154"/>
        <v>0</v>
      </c>
    </row>
    <row r="676" spans="1:18" hidden="1">
      <c r="A676" t="s">
        <v>26</v>
      </c>
      <c r="B676" t="str">
        <f t="shared" si="150"/>
        <v>HIDE</v>
      </c>
      <c r="C676" t="s">
        <v>73</v>
      </c>
      <c r="D676" t="str">
        <f>"""Mission ERP"",""GBRA"",""15"",""1"",""21150"""</f>
        <v>"Mission ERP","GBRA","15","1","21150"</v>
      </c>
      <c r="E676" t="str">
        <f>"21150"</f>
        <v>21150</v>
      </c>
      <c r="F676" t="str">
        <f>"LOAN-BUDGET PRINCIPAL"</f>
        <v>LOAN-BUDGET PRINCIPAL</v>
      </c>
      <c r="I676" s="8">
        <v>0</v>
      </c>
      <c r="J676" s="8"/>
      <c r="K676" s="8">
        <v>0</v>
      </c>
      <c r="L676" s="8"/>
      <c r="M676" s="8">
        <f t="shared" si="151"/>
        <v>0</v>
      </c>
      <c r="P676">
        <f t="shared" si="152"/>
        <v>0</v>
      </c>
      <c r="Q676">
        <f t="shared" si="153"/>
        <v>0</v>
      </c>
      <c r="R676">
        <f t="shared" si="154"/>
        <v>0</v>
      </c>
    </row>
    <row r="677" spans="1:18">
      <c r="A677" t="s">
        <v>26</v>
      </c>
      <c r="B677" t="str">
        <f t="shared" si="150"/>
        <v>SHOW</v>
      </c>
      <c r="C677" t="s">
        <v>73</v>
      </c>
      <c r="D677" t="str">
        <f>"""Mission ERP"",""GBRA"",""15"",""1"",""21201"""</f>
        <v>"Mission ERP","GBRA","15","1","21201"</v>
      </c>
      <c r="E677" t="str">
        <f>"21201"</f>
        <v>21201</v>
      </c>
      <c r="F677" t="str">
        <f>"BOND-2007 RRWDS"</f>
        <v>BOND-2007 RRWDS</v>
      </c>
      <c r="I677" s="8">
        <v>173333</v>
      </c>
      <c r="J677" s="8"/>
      <c r="K677" s="8">
        <v>185000</v>
      </c>
      <c r="L677" s="8"/>
      <c r="M677" s="8">
        <f t="shared" si="151"/>
        <v>11667</v>
      </c>
      <c r="P677">
        <f t="shared" si="152"/>
        <v>1</v>
      </c>
      <c r="Q677">
        <f t="shared" si="153"/>
        <v>1</v>
      </c>
      <c r="R677">
        <f t="shared" si="154"/>
        <v>2</v>
      </c>
    </row>
    <row r="678" spans="1:18" hidden="1">
      <c r="A678" t="s">
        <v>26</v>
      </c>
      <c r="B678" t="str">
        <f t="shared" si="150"/>
        <v>HIDE</v>
      </c>
      <c r="C678" t="s">
        <v>73</v>
      </c>
      <c r="D678" t="str">
        <f>"""Mission ERP"",""GBRA"",""15"",""1"",""21202"""</f>
        <v>"Mission ERP","GBRA","15","1","21202"</v>
      </c>
      <c r="E678" t="str">
        <f>"21202"</f>
        <v>21202</v>
      </c>
      <c r="F678" t="str">
        <f>"BOND-2010 RRWDS"</f>
        <v>BOND-2010 RRWDS</v>
      </c>
      <c r="I678" s="8">
        <v>0</v>
      </c>
      <c r="J678" s="8"/>
      <c r="K678" s="8">
        <v>0</v>
      </c>
      <c r="L678" s="8"/>
      <c r="M678" s="8">
        <f t="shared" si="151"/>
        <v>0</v>
      </c>
      <c r="P678">
        <f t="shared" si="152"/>
        <v>0</v>
      </c>
      <c r="Q678">
        <f t="shared" si="153"/>
        <v>0</v>
      </c>
      <c r="R678">
        <f t="shared" si="154"/>
        <v>0</v>
      </c>
    </row>
    <row r="679" spans="1:18" hidden="1">
      <c r="A679" t="s">
        <v>26</v>
      </c>
      <c r="B679" t="str">
        <f t="shared" si="150"/>
        <v>HIDE</v>
      </c>
      <c r="C679" t="s">
        <v>73</v>
      </c>
      <c r="D679" t="str">
        <f>"""Mission ERP"",""GBRA"",""15"",""1"",""21203"""</f>
        <v>"Mission ERP","GBRA","15","1","21203"</v>
      </c>
      <c r="E679" t="str">
        <f>"21203"</f>
        <v>21203</v>
      </c>
      <c r="F679" t="str">
        <f>"OLD-DO NOT USE, BOND-2011 GEN IMP"</f>
        <v>OLD-DO NOT USE, BOND-2011 GEN IMP</v>
      </c>
      <c r="I679" s="8">
        <v>0</v>
      </c>
      <c r="J679" s="8"/>
      <c r="K679" s="8">
        <v>0</v>
      </c>
      <c r="L679" s="8"/>
      <c r="M679" s="8">
        <f t="shared" si="151"/>
        <v>0</v>
      </c>
      <c r="P679">
        <f t="shared" si="152"/>
        <v>0</v>
      </c>
      <c r="Q679">
        <f t="shared" si="153"/>
        <v>0</v>
      </c>
      <c r="R679">
        <f t="shared" si="154"/>
        <v>0</v>
      </c>
    </row>
    <row r="680" spans="1:18">
      <c r="A680" t="s">
        <v>26</v>
      </c>
      <c r="B680" t="str">
        <f t="shared" si="150"/>
        <v>SHOW</v>
      </c>
      <c r="C680" t="s">
        <v>73</v>
      </c>
      <c r="D680" t="str">
        <f>"""Mission ERP"",""GBRA"",""15"",""1"",""21204"""</f>
        <v>"Mission ERP","GBRA","15","1","21204"</v>
      </c>
      <c r="E680" t="str">
        <f>"21204"</f>
        <v>21204</v>
      </c>
      <c r="F680" t="str">
        <f>"BOND-2012 MID-BASIN"</f>
        <v>BOND-2012 MID-BASIN</v>
      </c>
      <c r="I680" s="8">
        <v>235000</v>
      </c>
      <c r="J680" s="8"/>
      <c r="K680" s="8">
        <v>235417</v>
      </c>
      <c r="L680" s="8"/>
      <c r="M680" s="8">
        <f t="shared" si="151"/>
        <v>417</v>
      </c>
      <c r="P680">
        <f t="shared" si="152"/>
        <v>1</v>
      </c>
      <c r="Q680">
        <f t="shared" si="153"/>
        <v>1</v>
      </c>
      <c r="R680">
        <f t="shared" si="154"/>
        <v>2</v>
      </c>
    </row>
    <row r="681" spans="1:18">
      <c r="A681" t="s">
        <v>26</v>
      </c>
      <c r="B681" t="str">
        <f t="shared" si="150"/>
        <v>SHOW</v>
      </c>
      <c r="C681" t="s">
        <v>73</v>
      </c>
      <c r="D681" t="str">
        <f>"""Mission ERP"",""GBRA"",""15"",""1"",""21205"""</f>
        <v>"Mission ERP","GBRA","15","1","21205"</v>
      </c>
      <c r="E681" t="str">
        <f>"21205"</f>
        <v>21205</v>
      </c>
      <c r="F681" t="str">
        <f>"BOND-2013 IH35"</f>
        <v>BOND-2013 IH35</v>
      </c>
      <c r="I681" s="8">
        <v>766667</v>
      </c>
      <c r="J681" s="8"/>
      <c r="K681" s="8">
        <v>787083</v>
      </c>
      <c r="L681" s="8"/>
      <c r="M681" s="8">
        <f t="shared" si="151"/>
        <v>20416</v>
      </c>
      <c r="P681">
        <f t="shared" si="152"/>
        <v>1</v>
      </c>
      <c r="Q681">
        <f t="shared" si="153"/>
        <v>1</v>
      </c>
      <c r="R681">
        <f t="shared" si="154"/>
        <v>2</v>
      </c>
    </row>
    <row r="682" spans="1:18" hidden="1">
      <c r="A682" t="s">
        <v>26</v>
      </c>
      <c r="B682" t="str">
        <f t="shared" si="150"/>
        <v>HIDE</v>
      </c>
      <c r="C682" t="s">
        <v>73</v>
      </c>
      <c r="D682" t="str">
        <f>"""Mission ERP"",""GBRA"",""15"",""1"",""21206"""</f>
        <v>"Mission ERP","GBRA","15","1","21206"</v>
      </c>
      <c r="E682" t="str">
        <f>"21206"</f>
        <v>21206</v>
      </c>
      <c r="F682" t="str">
        <f>"OLD-DO NOT USE, BOND-2013 WCANYON"</f>
        <v>OLD-DO NOT USE, BOND-2013 WCANYON</v>
      </c>
      <c r="I682" s="8">
        <v>0</v>
      </c>
      <c r="J682" s="8"/>
      <c r="K682" s="8">
        <v>0</v>
      </c>
      <c r="L682" s="8"/>
      <c r="M682" s="8">
        <f t="shared" si="151"/>
        <v>0</v>
      </c>
      <c r="P682">
        <f t="shared" si="152"/>
        <v>0</v>
      </c>
      <c r="Q682">
        <f t="shared" si="153"/>
        <v>0</v>
      </c>
      <c r="R682">
        <f t="shared" si="154"/>
        <v>0</v>
      </c>
    </row>
    <row r="683" spans="1:18">
      <c r="A683" t="s">
        <v>26</v>
      </c>
      <c r="B683" t="str">
        <f t="shared" si="150"/>
        <v>SHOW</v>
      </c>
      <c r="C683" t="s">
        <v>73</v>
      </c>
      <c r="D683" t="str">
        <f>"""Mission ERP"",""GBRA"",""15"",""1"",""21207"""</f>
        <v>"Mission ERP","GBRA","15","1","21207"</v>
      </c>
      <c r="E683" t="str">
        <f>"21207"</f>
        <v>21207</v>
      </c>
      <c r="F683" t="str">
        <f>"BOND-2014 LULO PIPELINE"</f>
        <v>BOND-2014 LULO PIPELINE</v>
      </c>
      <c r="I683" s="8">
        <v>340833</v>
      </c>
      <c r="J683" s="8"/>
      <c r="K683" s="8">
        <v>350833</v>
      </c>
      <c r="L683" s="8"/>
      <c r="M683" s="8">
        <f t="shared" si="151"/>
        <v>10000</v>
      </c>
      <c r="P683">
        <f t="shared" si="152"/>
        <v>1</v>
      </c>
      <c r="Q683">
        <f t="shared" si="153"/>
        <v>1</v>
      </c>
      <c r="R683">
        <f t="shared" si="154"/>
        <v>2</v>
      </c>
    </row>
    <row r="684" spans="1:18" hidden="1">
      <c r="A684" t="s">
        <v>26</v>
      </c>
      <c r="B684" t="str">
        <f t="shared" si="150"/>
        <v>HIDE</v>
      </c>
      <c r="C684" t="s">
        <v>73</v>
      </c>
      <c r="D684" t="str">
        <f>"""Mission ERP"",""GBRA"",""15"",""1"",""21208"""</f>
        <v>"Mission ERP","GBRA","15","1","21208"</v>
      </c>
      <c r="E684" t="str">
        <f>"21208"</f>
        <v>21208</v>
      </c>
      <c r="F684" t="str">
        <f>"BOND-2015 IWPP SWIRFT"</f>
        <v>BOND-2015 IWPP SWIRFT</v>
      </c>
      <c r="I684" s="8">
        <v>0</v>
      </c>
      <c r="J684" s="8"/>
      <c r="K684" s="8">
        <v>0</v>
      </c>
      <c r="L684" s="8"/>
      <c r="M684" s="8">
        <f t="shared" si="151"/>
        <v>0</v>
      </c>
      <c r="P684">
        <f t="shared" si="152"/>
        <v>0</v>
      </c>
      <c r="Q684">
        <f t="shared" si="153"/>
        <v>0</v>
      </c>
      <c r="R684">
        <f t="shared" si="154"/>
        <v>0</v>
      </c>
    </row>
    <row r="685" spans="1:18">
      <c r="A685" t="s">
        <v>26</v>
      </c>
      <c r="B685" t="str">
        <f t="shared" si="150"/>
        <v>SHOW</v>
      </c>
      <c r="C685" t="s">
        <v>73</v>
      </c>
      <c r="D685" t="str">
        <f>"""Mission ERP"",""GBRA"",""15"",""1"",""21209"""</f>
        <v>"Mission ERP","GBRA","15","1","21209"</v>
      </c>
      <c r="E685" t="str">
        <f>"21209"</f>
        <v>21209</v>
      </c>
      <c r="F685" t="str">
        <f>"BOND-2016 SMWTP"</f>
        <v>BOND-2016 SMWTP</v>
      </c>
      <c r="I685" s="8">
        <v>110000</v>
      </c>
      <c r="J685" s="8"/>
      <c r="K685" s="8">
        <v>110417</v>
      </c>
      <c r="L685" s="8"/>
      <c r="M685" s="8">
        <f t="shared" si="151"/>
        <v>417</v>
      </c>
      <c r="P685">
        <f t="shared" si="152"/>
        <v>1</v>
      </c>
      <c r="Q685">
        <f t="shared" si="153"/>
        <v>1</v>
      </c>
      <c r="R685">
        <f t="shared" si="154"/>
        <v>2</v>
      </c>
    </row>
    <row r="686" spans="1:18" hidden="1">
      <c r="A686" t="s">
        <v>26</v>
      </c>
      <c r="B686" t="str">
        <f t="shared" si="150"/>
        <v>HIDE</v>
      </c>
      <c r="C686" t="s">
        <v>73</v>
      </c>
      <c r="D686" t="str">
        <f>"""Mission ERP"",""GBRA"",""15"",""1"",""21210"""</f>
        <v>"Mission ERP","GBRA","15","1","21210"</v>
      </c>
      <c r="E686" t="str">
        <f>"21210"</f>
        <v>21210</v>
      </c>
      <c r="F686" t="str">
        <f>"OLD-DO NOT USE, BOND-2017 GCGW LEASES PNC"</f>
        <v>OLD-DO NOT USE, BOND-2017 GCGW LEASES PNC</v>
      </c>
      <c r="I686" s="8">
        <v>0</v>
      </c>
      <c r="J686" s="8"/>
      <c r="K686" s="8">
        <v>0</v>
      </c>
      <c r="L686" s="8"/>
      <c r="M686" s="8">
        <f t="shared" si="151"/>
        <v>0</v>
      </c>
      <c r="P686">
        <f t="shared" si="152"/>
        <v>0</v>
      </c>
      <c r="Q686">
        <f t="shared" si="153"/>
        <v>0</v>
      </c>
      <c r="R686">
        <f t="shared" si="154"/>
        <v>0</v>
      </c>
    </row>
    <row r="687" spans="1:18">
      <c r="A687" t="s">
        <v>26</v>
      </c>
      <c r="B687" t="str">
        <f t="shared" si="150"/>
        <v>SHOW</v>
      </c>
      <c r="C687" t="s">
        <v>73</v>
      </c>
      <c r="D687" t="str">
        <f>"""Mission ERP"",""GBRA"",""15"",""1"",""21211"""</f>
        <v>"Mission ERP","GBRA","15","1","21211"</v>
      </c>
      <c r="E687" t="str">
        <f>"21211"</f>
        <v>21211</v>
      </c>
      <c r="F687" t="str">
        <f>"BOND-2017 RRWDS"</f>
        <v>BOND-2017 RRWDS</v>
      </c>
      <c r="I687" s="8">
        <v>300000</v>
      </c>
      <c r="J687" s="8"/>
      <c r="K687" s="8">
        <v>313333</v>
      </c>
      <c r="L687" s="8"/>
      <c r="M687" s="8">
        <f t="shared" si="151"/>
        <v>13333</v>
      </c>
      <c r="P687">
        <f t="shared" si="152"/>
        <v>1</v>
      </c>
      <c r="Q687">
        <f t="shared" si="153"/>
        <v>1</v>
      </c>
      <c r="R687">
        <f t="shared" si="154"/>
        <v>2</v>
      </c>
    </row>
    <row r="688" spans="1:18" hidden="1">
      <c r="A688" t="s">
        <v>26</v>
      </c>
      <c r="B688" t="str">
        <f t="shared" si="150"/>
        <v>HIDE</v>
      </c>
      <c r="C688" t="s">
        <v>73</v>
      </c>
      <c r="D688" t="str">
        <f>"""Mission ERP"",""GBRA"",""15"",""1"",""21212"""</f>
        <v>"Mission ERP","GBRA","15","1","21212"</v>
      </c>
      <c r="E688" t="str">
        <f>"21212"</f>
        <v>21212</v>
      </c>
      <c r="F688" t="str">
        <f>"OLD-DO NOT USE, BOND-2017 WCANYON AERATION BONDS"</f>
        <v>OLD-DO NOT USE, BOND-2017 WCANYON AERATION BONDS</v>
      </c>
      <c r="I688" s="8">
        <v>0</v>
      </c>
      <c r="J688" s="8"/>
      <c r="K688" s="8">
        <v>0</v>
      </c>
      <c r="L688" s="8"/>
      <c r="M688" s="8">
        <f t="shared" si="151"/>
        <v>0</v>
      </c>
      <c r="P688">
        <f t="shared" si="152"/>
        <v>0</v>
      </c>
      <c r="Q688">
        <f t="shared" si="153"/>
        <v>0</v>
      </c>
      <c r="R688">
        <f t="shared" si="154"/>
        <v>0</v>
      </c>
    </row>
    <row r="689" spans="1:18">
      <c r="A689" t="s">
        <v>26</v>
      </c>
      <c r="B689" t="str">
        <f t="shared" si="150"/>
        <v>SHOW</v>
      </c>
      <c r="C689" t="s">
        <v>73</v>
      </c>
      <c r="D689" t="str">
        <f>"""Mission ERP"",""GBRA"",""15"",""1"",""21213"""</f>
        <v>"Mission ERP","GBRA","15","1","21213"</v>
      </c>
      <c r="E689" t="str">
        <f>"21213"</f>
        <v>21213</v>
      </c>
      <c r="F689" t="str">
        <f>"BOND-2018A TWDB CARRIZO GRNDWTR"</f>
        <v>BOND-2018A TWDB CARRIZO GRNDWTR</v>
      </c>
      <c r="I689" s="8">
        <v>330417</v>
      </c>
      <c r="J689" s="8"/>
      <c r="K689" s="8">
        <v>336250</v>
      </c>
      <c r="L689" s="8"/>
      <c r="M689" s="8">
        <f t="shared" si="151"/>
        <v>5833</v>
      </c>
      <c r="P689">
        <f t="shared" si="152"/>
        <v>1</v>
      </c>
      <c r="Q689">
        <f t="shared" si="153"/>
        <v>1</v>
      </c>
      <c r="R689">
        <f t="shared" si="154"/>
        <v>2</v>
      </c>
    </row>
    <row r="690" spans="1:18">
      <c r="A690" t="s">
        <v>26</v>
      </c>
      <c r="B690" t="str">
        <f t="shared" si="150"/>
        <v>SHOW</v>
      </c>
      <c r="C690" t="s">
        <v>73</v>
      </c>
      <c r="D690" t="str">
        <f>"""Mission ERP"",""GBRA"",""15"",""1"",""21214"""</f>
        <v>"Mission ERP","GBRA","15","1","21214"</v>
      </c>
      <c r="E690" t="str">
        <f>"21214"</f>
        <v>21214</v>
      </c>
      <c r="F690" t="str">
        <f>"BOND-2018B TWDB CARRIZO GRNDWTR"</f>
        <v>BOND-2018B TWDB CARRIZO GRNDWTR</v>
      </c>
      <c r="I690" s="8">
        <v>340417</v>
      </c>
      <c r="J690" s="8"/>
      <c r="K690" s="8">
        <v>345417</v>
      </c>
      <c r="L690" s="8"/>
      <c r="M690" s="8">
        <f t="shared" si="151"/>
        <v>5000</v>
      </c>
      <c r="P690">
        <f t="shared" si="152"/>
        <v>1</v>
      </c>
      <c r="Q690">
        <f t="shared" si="153"/>
        <v>1</v>
      </c>
      <c r="R690">
        <f t="shared" si="154"/>
        <v>2</v>
      </c>
    </row>
    <row r="691" spans="1:18" hidden="1">
      <c r="A691" t="s">
        <v>26</v>
      </c>
      <c r="B691" t="str">
        <f t="shared" si="150"/>
        <v>HIDE</v>
      </c>
      <c r="C691" t="s">
        <v>73</v>
      </c>
      <c r="D691" t="str">
        <f>"""Mission ERP"",""GBRA"",""15"",""1"",""21215"""</f>
        <v>"Mission ERP","GBRA","15","1","21215"</v>
      </c>
      <c r="E691" t="str">
        <f>"21215"</f>
        <v>21215</v>
      </c>
      <c r="F691" t="str">
        <f>"BOND-2018M TWDB CARRIZO GRNDWTR"</f>
        <v>BOND-2018M TWDB CARRIZO GRNDWTR</v>
      </c>
      <c r="I691" s="8">
        <v>0</v>
      </c>
      <c r="J691" s="8"/>
      <c r="K691" s="8">
        <v>0</v>
      </c>
      <c r="L691" s="8"/>
      <c r="M691" s="8">
        <f t="shared" si="151"/>
        <v>0</v>
      </c>
      <c r="P691">
        <f t="shared" si="152"/>
        <v>0</v>
      </c>
      <c r="Q691">
        <f t="shared" si="153"/>
        <v>0</v>
      </c>
      <c r="R691">
        <f t="shared" si="154"/>
        <v>0</v>
      </c>
    </row>
    <row r="692" spans="1:18">
      <c r="A692" t="s">
        <v>26</v>
      </c>
      <c r="B692" t="str">
        <f t="shared" si="150"/>
        <v>SHOW</v>
      </c>
      <c r="C692" t="s">
        <v>73</v>
      </c>
      <c r="D692" t="str">
        <f>"""Mission ERP"",""GBRA"",""15"",""1"",""21216"""</f>
        <v>"Mission ERP","GBRA","15","1","21216"</v>
      </c>
      <c r="E692" t="str">
        <f>"21216"</f>
        <v>21216</v>
      </c>
      <c r="F692" t="str">
        <f>"BOND-2019 TWDB CARRIZO GRNDWTR"</f>
        <v>BOND-2019 TWDB CARRIZO GRNDWTR</v>
      </c>
      <c r="I692" s="8">
        <v>3156251</v>
      </c>
      <c r="J692" s="8"/>
      <c r="K692" s="8">
        <v>3257501</v>
      </c>
      <c r="L692" s="8"/>
      <c r="M692" s="8">
        <f t="shared" si="151"/>
        <v>101250</v>
      </c>
      <c r="P692">
        <f t="shared" si="152"/>
        <v>1</v>
      </c>
      <c r="Q692">
        <f t="shared" si="153"/>
        <v>1</v>
      </c>
      <c r="R692">
        <f t="shared" si="154"/>
        <v>2</v>
      </c>
    </row>
    <row r="693" spans="1:18">
      <c r="A693" t="s">
        <v>26</v>
      </c>
      <c r="B693" t="str">
        <f t="shared" si="150"/>
        <v>SHOW</v>
      </c>
      <c r="C693" t="s">
        <v>73</v>
      </c>
      <c r="D693" t="str">
        <f>"""Mission ERP"",""GBRA"",""15"",""1"",""21217"""</f>
        <v>"Mission ERP","GBRA","15","1","21217"</v>
      </c>
      <c r="E693" t="str">
        <f>"21217"</f>
        <v>21217</v>
      </c>
      <c r="F693" t="str">
        <f>"BOND-2019M TWDB CARRIZO GRNDWTR"</f>
        <v>BOND-2019M TWDB CARRIZO GRNDWTR</v>
      </c>
      <c r="I693" s="8">
        <v>0</v>
      </c>
      <c r="J693" s="8"/>
      <c r="K693" s="8">
        <v>142083</v>
      </c>
      <c r="L693" s="8"/>
      <c r="M693" s="8">
        <f t="shared" si="151"/>
        <v>142083</v>
      </c>
      <c r="P693">
        <f t="shared" si="152"/>
        <v>0</v>
      </c>
      <c r="Q693">
        <f t="shared" si="153"/>
        <v>1</v>
      </c>
      <c r="R693">
        <f t="shared" si="154"/>
        <v>1</v>
      </c>
    </row>
    <row r="694" spans="1:18">
      <c r="A694" t="s">
        <v>26</v>
      </c>
      <c r="B694" t="str">
        <f t="shared" si="150"/>
        <v>SHOW</v>
      </c>
      <c r="C694" t="s">
        <v>73</v>
      </c>
      <c r="D694" t="str">
        <f>"""Mission ERP"",""GBRA"",""15"",""1"",""21218"""</f>
        <v>"Mission ERP","GBRA","15","1","21218"</v>
      </c>
      <c r="E694" t="str">
        <f>"21218"</f>
        <v>21218</v>
      </c>
      <c r="F694" t="str">
        <f>"BOND-2020 GEN IMP REV REF (OFFICE)"</f>
        <v>BOND-2020 GEN IMP REV REF (OFFICE)</v>
      </c>
      <c r="I694" s="8">
        <v>736250</v>
      </c>
      <c r="J694" s="8"/>
      <c r="K694" s="8">
        <v>752500</v>
      </c>
      <c r="L694" s="8"/>
      <c r="M694" s="8">
        <f t="shared" si="151"/>
        <v>16250</v>
      </c>
      <c r="P694">
        <f t="shared" si="152"/>
        <v>1</v>
      </c>
      <c r="Q694">
        <f t="shared" si="153"/>
        <v>1</v>
      </c>
      <c r="R694">
        <f t="shared" si="154"/>
        <v>2</v>
      </c>
    </row>
    <row r="695" spans="1:18">
      <c r="A695" t="s">
        <v>26</v>
      </c>
      <c r="B695" t="str">
        <f t="shared" si="150"/>
        <v>SHOW</v>
      </c>
      <c r="C695" t="s">
        <v>73</v>
      </c>
      <c r="D695" t="str">
        <f>"""Mission ERP"",""GBRA"",""15"",""1"",""21219"""</f>
        <v>"Mission ERP","GBRA","15","1","21219"</v>
      </c>
      <c r="E695" t="str">
        <f>"21219"</f>
        <v>21219</v>
      </c>
      <c r="F695" t="str">
        <f>"BOND-2020 WCANYON REV REF"</f>
        <v>BOND-2020 WCANYON REV REF</v>
      </c>
      <c r="I695" s="8">
        <v>4082917</v>
      </c>
      <c r="J695" s="8"/>
      <c r="K695" s="8">
        <v>4119583</v>
      </c>
      <c r="L695" s="8"/>
      <c r="M695" s="8">
        <f t="shared" si="151"/>
        <v>36666</v>
      </c>
      <c r="P695">
        <f t="shared" si="152"/>
        <v>1</v>
      </c>
      <c r="Q695">
        <f t="shared" si="153"/>
        <v>1</v>
      </c>
      <c r="R695">
        <f t="shared" si="154"/>
        <v>2</v>
      </c>
    </row>
    <row r="696" spans="1:18" hidden="1">
      <c r="A696" t="s">
        <v>26</v>
      </c>
      <c r="B696" t="str">
        <f t="shared" si="150"/>
        <v>HIDE</v>
      </c>
      <c r="C696" t="s">
        <v>73</v>
      </c>
      <c r="D696" t="str">
        <f>"""Mission ERP"",""GBRA"",""15"",""1"",""21220"""</f>
        <v>"Mission ERP","GBRA","15","1","21220"</v>
      </c>
      <c r="E696" t="str">
        <f>"21220"</f>
        <v>21220</v>
      </c>
      <c r="F696" t="str">
        <f>"BOND-2020 TWDB CARRIZO GRNDWTR"</f>
        <v>BOND-2020 TWDB CARRIZO GRNDWTR</v>
      </c>
      <c r="I696" s="8">
        <v>0</v>
      </c>
      <c r="J696" s="8"/>
      <c r="K696" s="8">
        <v>0</v>
      </c>
      <c r="L696" s="8"/>
      <c r="M696" s="8">
        <f t="shared" si="151"/>
        <v>0</v>
      </c>
      <c r="P696">
        <f t="shared" si="152"/>
        <v>0</v>
      </c>
      <c r="Q696">
        <f t="shared" si="153"/>
        <v>0</v>
      </c>
      <c r="R696">
        <f t="shared" si="154"/>
        <v>0</v>
      </c>
    </row>
    <row r="697" spans="1:18" hidden="1">
      <c r="A697" t="s">
        <v>26</v>
      </c>
      <c r="B697" t="str">
        <f t="shared" si="150"/>
        <v>HIDE</v>
      </c>
      <c r="C697" t="s">
        <v>73</v>
      </c>
      <c r="D697" t="str">
        <f>"""Mission ERP"",""GBRA"",""15"",""1"",""21221"""</f>
        <v>"Mission ERP","GBRA","15","1","21221"</v>
      </c>
      <c r="E697" t="str">
        <f>"21221"</f>
        <v>21221</v>
      </c>
      <c r="F697" t="str">
        <f>"BOND-2020M TWDB CARRIZO GRNDWTR"</f>
        <v>BOND-2020M TWDB CARRIZO GRNDWTR</v>
      </c>
      <c r="I697" s="8">
        <v>0</v>
      </c>
      <c r="J697" s="8"/>
      <c r="K697" s="8">
        <v>0</v>
      </c>
      <c r="L697" s="8"/>
      <c r="M697" s="8">
        <f t="shared" si="151"/>
        <v>0</v>
      </c>
      <c r="P697">
        <f t="shared" si="152"/>
        <v>0</v>
      </c>
      <c r="Q697">
        <f t="shared" si="153"/>
        <v>0</v>
      </c>
      <c r="R697">
        <f t="shared" si="154"/>
        <v>0</v>
      </c>
    </row>
    <row r="698" spans="1:18">
      <c r="A698" t="s">
        <v>26</v>
      </c>
      <c r="B698" t="str">
        <f t="shared" si="150"/>
        <v>SHOW</v>
      </c>
      <c r="C698" t="s">
        <v>73</v>
      </c>
      <c r="D698" t="str">
        <f>"""Mission ERP"",""GBRA"",""15"",""1"",""21222"""</f>
        <v>"Mission ERP","GBRA","15","1","21222"</v>
      </c>
      <c r="E698" t="str">
        <f>"21222"</f>
        <v>21222</v>
      </c>
      <c r="F698" t="str">
        <f>"BOND-2021 LAKE DUNLAP DAM TWDB"</f>
        <v>BOND-2021 LAKE DUNLAP DAM TWDB</v>
      </c>
      <c r="I698" s="8">
        <v>1420000</v>
      </c>
      <c r="J698" s="8"/>
      <c r="K698" s="8">
        <v>1425000</v>
      </c>
      <c r="L698" s="8"/>
      <c r="M698" s="8">
        <f t="shared" si="151"/>
        <v>5000</v>
      </c>
      <c r="P698">
        <f t="shared" si="152"/>
        <v>1</v>
      </c>
      <c r="Q698">
        <f t="shared" si="153"/>
        <v>1</v>
      </c>
      <c r="R698">
        <f t="shared" si="154"/>
        <v>2</v>
      </c>
    </row>
    <row r="699" spans="1:18">
      <c r="A699" t="s">
        <v>26</v>
      </c>
      <c r="B699" t="str">
        <f t="shared" si="150"/>
        <v>SHOW</v>
      </c>
      <c r="C699" t="s">
        <v>73</v>
      </c>
      <c r="D699" t="str">
        <f>"""Mission ERP"",""GBRA"",""15"",""1"",""21223"""</f>
        <v>"Mission ERP","GBRA","15","1","21223"</v>
      </c>
      <c r="E699" t="str">
        <f>"21223"</f>
        <v>21223</v>
      </c>
      <c r="F699" t="str">
        <f>"BOND-2021 LAKE McQUEENEY DAM TWDB"</f>
        <v>BOND-2021 LAKE McQUEENEY DAM TWDB</v>
      </c>
      <c r="I699" s="8">
        <v>1265000</v>
      </c>
      <c r="J699" s="8"/>
      <c r="K699" s="8">
        <v>1275000</v>
      </c>
      <c r="L699" s="8"/>
      <c r="M699" s="8">
        <f t="shared" si="151"/>
        <v>10000</v>
      </c>
      <c r="P699">
        <f t="shared" si="152"/>
        <v>1</v>
      </c>
      <c r="Q699">
        <f t="shared" si="153"/>
        <v>1</v>
      </c>
      <c r="R699">
        <f t="shared" si="154"/>
        <v>2</v>
      </c>
    </row>
    <row r="700" spans="1:18">
      <c r="A700" t="s">
        <v>26</v>
      </c>
      <c r="B700" t="str">
        <f t="shared" si="150"/>
        <v>SHOW</v>
      </c>
      <c r="C700" t="s">
        <v>73</v>
      </c>
      <c r="D700" t="str">
        <f>"""Mission ERP"",""GBRA"",""15"",""1"",""21224"""</f>
        <v>"Mission ERP","GBRA","15","1","21224"</v>
      </c>
      <c r="E700" t="str">
        <f>"21224"</f>
        <v>21224</v>
      </c>
      <c r="F700" t="str">
        <f>"BOND-2021 LAKE PLACID DAM TWDB"</f>
        <v>BOND-2021 LAKE PLACID DAM TWDB</v>
      </c>
      <c r="I700" s="8">
        <v>50000</v>
      </c>
      <c r="J700" s="8"/>
      <c r="K700" s="8">
        <v>50000</v>
      </c>
      <c r="L700" s="8"/>
      <c r="M700" s="8">
        <f t="shared" si="151"/>
        <v>0</v>
      </c>
      <c r="P700">
        <f t="shared" si="152"/>
        <v>1</v>
      </c>
      <c r="Q700">
        <f t="shared" si="153"/>
        <v>1</v>
      </c>
      <c r="R700">
        <f t="shared" si="154"/>
        <v>2</v>
      </c>
    </row>
    <row r="701" spans="1:18">
      <c r="A701" t="s">
        <v>26</v>
      </c>
      <c r="B701" t="str">
        <f t="shared" si="150"/>
        <v>SHOW</v>
      </c>
      <c r="C701" t="s">
        <v>73</v>
      </c>
      <c r="D701" t="str">
        <f>"""Mission ERP"",""GBRA"",""15"",""1"",""21225"""</f>
        <v>"Mission ERP","GBRA","15","1","21225"</v>
      </c>
      <c r="E701" t="str">
        <f>"21225"</f>
        <v>21225</v>
      </c>
      <c r="F701" t="str">
        <f>"BOND-2021 STEIN FALLS CONSTRUCTION"</f>
        <v>BOND-2021 STEIN FALLS CONSTRUCTION</v>
      </c>
      <c r="I701" s="8">
        <v>456667</v>
      </c>
      <c r="J701" s="8"/>
      <c r="K701" s="8">
        <v>476250</v>
      </c>
      <c r="L701" s="8"/>
      <c r="M701" s="8">
        <f t="shared" si="151"/>
        <v>19583</v>
      </c>
      <c r="P701">
        <f t="shared" si="152"/>
        <v>1</v>
      </c>
      <c r="Q701">
        <f t="shared" si="153"/>
        <v>1</v>
      </c>
      <c r="R701">
        <f t="shared" si="154"/>
        <v>2</v>
      </c>
    </row>
    <row r="702" spans="1:18">
      <c r="A702" t="s">
        <v>26</v>
      </c>
      <c r="B702" t="str">
        <f t="shared" si="150"/>
        <v>SHOW</v>
      </c>
      <c r="C702" t="s">
        <v>73</v>
      </c>
      <c r="D702" t="str">
        <f>"""Mission ERP"",""GBRA"",""15"",""1"",""21226"""</f>
        <v>"Mission ERP","GBRA","15","1","21226"</v>
      </c>
      <c r="E702" t="str">
        <f>"21226"</f>
        <v>21226</v>
      </c>
      <c r="F702" t="str">
        <f>"BOND-2021 DIETZ CONSTRUCTION"</f>
        <v>BOND-2021 DIETZ CONSTRUCTION</v>
      </c>
      <c r="I702" s="8">
        <v>140417</v>
      </c>
      <c r="J702" s="8"/>
      <c r="K702" s="8">
        <v>145417</v>
      </c>
      <c r="L702" s="8"/>
      <c r="M702" s="8">
        <f t="shared" si="151"/>
        <v>5000</v>
      </c>
      <c r="P702">
        <f t="shared" si="152"/>
        <v>1</v>
      </c>
      <c r="Q702">
        <f t="shared" si="153"/>
        <v>1</v>
      </c>
      <c r="R702">
        <f t="shared" si="154"/>
        <v>2</v>
      </c>
    </row>
    <row r="703" spans="1:18" hidden="1">
      <c r="A703" t="s">
        <v>26</v>
      </c>
      <c r="B703" t="str">
        <f t="shared" si="150"/>
        <v>HIDE</v>
      </c>
      <c r="C703" t="s">
        <v>73</v>
      </c>
      <c r="D703" t="str">
        <f>"""Mission ERP"",""GBRA"",""15"",""1"",""21227"""</f>
        <v>"Mission ERP","GBRA","15","1","21227"</v>
      </c>
      <c r="E703" t="str">
        <f>"21227"</f>
        <v>21227</v>
      </c>
      <c r="F703" t="str">
        <f>"BOND-2021 TWDB CARRIZO GRNDWTR"</f>
        <v>BOND-2021 TWDB CARRIZO GRNDWTR</v>
      </c>
      <c r="I703" s="8">
        <v>0</v>
      </c>
      <c r="J703" s="8"/>
      <c r="K703" s="8">
        <v>0</v>
      </c>
      <c r="L703" s="8"/>
      <c r="M703" s="8">
        <f t="shared" si="151"/>
        <v>0</v>
      </c>
      <c r="P703">
        <f t="shared" si="152"/>
        <v>0</v>
      </c>
      <c r="Q703">
        <f t="shared" si="153"/>
        <v>0</v>
      </c>
      <c r="R703">
        <f t="shared" si="154"/>
        <v>0</v>
      </c>
    </row>
    <row r="704" spans="1:18" hidden="1">
      <c r="A704" t="s">
        <v>26</v>
      </c>
      <c r="B704" t="str">
        <f t="shared" si="150"/>
        <v>HIDE</v>
      </c>
      <c r="C704" t="s">
        <v>73</v>
      </c>
      <c r="D704" t="str">
        <f>"""Mission ERP"",""GBRA"",""15"",""1"",""21228"""</f>
        <v>"Mission ERP","GBRA","15","1","21228"</v>
      </c>
      <c r="E704" t="str">
        <f>"21228"</f>
        <v>21228</v>
      </c>
      <c r="F704" t="str">
        <f>"BOND-2021M TWDB CARRIZO GRNDWTR"</f>
        <v>BOND-2021M TWDB CARRIZO GRNDWTR</v>
      </c>
      <c r="I704" s="8">
        <v>0</v>
      </c>
      <c r="J704" s="8"/>
      <c r="K704" s="8">
        <v>0</v>
      </c>
      <c r="L704" s="8"/>
      <c r="M704" s="8">
        <f t="shared" si="151"/>
        <v>0</v>
      </c>
      <c r="P704">
        <f t="shared" si="152"/>
        <v>0</v>
      </c>
      <c r="Q704">
        <f t="shared" si="153"/>
        <v>0</v>
      </c>
      <c r="R704">
        <f t="shared" si="154"/>
        <v>0</v>
      </c>
    </row>
    <row r="705" spans="1:18">
      <c r="A705" t="s">
        <v>26</v>
      </c>
      <c r="B705" t="str">
        <f t="shared" si="150"/>
        <v>SHOW</v>
      </c>
      <c r="C705" t="s">
        <v>73</v>
      </c>
      <c r="D705" t="str">
        <f>"""Mission ERP"",""GBRA"",""15"",""1"",""21229"""</f>
        <v>"Mission ERP","GBRA","15","1","21229"</v>
      </c>
      <c r="E705" t="str">
        <f>"21229"</f>
        <v>21229</v>
      </c>
      <c r="F705" t="str">
        <f>"BOND-2022 LAKE PLACID DAM TWDB"</f>
        <v>BOND-2022 LAKE PLACID DAM TWDB</v>
      </c>
      <c r="I705" s="8">
        <v>950000</v>
      </c>
      <c r="J705" s="8"/>
      <c r="K705" s="8">
        <v>960000</v>
      </c>
      <c r="L705" s="8"/>
      <c r="M705" s="8">
        <f t="shared" si="151"/>
        <v>10000</v>
      </c>
      <c r="P705">
        <f t="shared" si="152"/>
        <v>1</v>
      </c>
      <c r="Q705">
        <f t="shared" si="153"/>
        <v>1</v>
      </c>
      <c r="R705">
        <f t="shared" si="154"/>
        <v>2</v>
      </c>
    </row>
    <row r="706" spans="1:18">
      <c r="A706" t="s">
        <v>26</v>
      </c>
      <c r="B706" t="str">
        <f t="shared" si="150"/>
        <v>SHOW</v>
      </c>
      <c r="C706" t="s">
        <v>73</v>
      </c>
      <c r="D706" t="str">
        <f>"""Mission ERP"",""GBRA"",""15"",""1"",""21230"""</f>
        <v>"Mission ERP","GBRA","15","1","21230"</v>
      </c>
      <c r="E706" t="str">
        <f>"21230"</f>
        <v>21230</v>
      </c>
      <c r="F706" t="str">
        <f>"BOND-2022 NB OFFICE CONSTRUCTION"</f>
        <v>BOND-2022 NB OFFICE CONSTRUCTION</v>
      </c>
      <c r="I706" s="8">
        <v>155833</v>
      </c>
      <c r="J706" s="8"/>
      <c r="K706" s="8">
        <v>165833</v>
      </c>
      <c r="L706" s="8"/>
      <c r="M706" s="8">
        <f t="shared" si="151"/>
        <v>10000</v>
      </c>
      <c r="P706">
        <f t="shared" si="152"/>
        <v>1</v>
      </c>
      <c r="Q706">
        <f t="shared" si="153"/>
        <v>1</v>
      </c>
      <c r="R706">
        <f t="shared" si="154"/>
        <v>2</v>
      </c>
    </row>
    <row r="707" spans="1:18" hidden="1">
      <c r="A707" t="s">
        <v>26</v>
      </c>
      <c r="B707" t="str">
        <f t="shared" si="150"/>
        <v>HIDE</v>
      </c>
      <c r="C707" t="s">
        <v>73</v>
      </c>
      <c r="D707" t="str">
        <f>"""Mission ERP"",""GBRA"",""15"",""1"",""21231"""</f>
        <v>"Mission ERP","GBRA","15","1","21231"</v>
      </c>
      <c r="E707" t="str">
        <f>"21231"</f>
        <v>21231</v>
      </c>
      <c r="F707" t="str">
        <f>"BOND-2022 TWDB CARRIZO GRNDWTR"</f>
        <v>BOND-2022 TWDB CARRIZO GRNDWTR</v>
      </c>
      <c r="I707" s="8">
        <v>0</v>
      </c>
      <c r="J707" s="8"/>
      <c r="K707" s="8">
        <v>0</v>
      </c>
      <c r="L707" s="8"/>
      <c r="M707" s="8">
        <f t="shared" si="151"/>
        <v>0</v>
      </c>
      <c r="P707">
        <f t="shared" si="152"/>
        <v>0</v>
      </c>
      <c r="Q707">
        <f t="shared" si="153"/>
        <v>0</v>
      </c>
      <c r="R707">
        <f t="shared" si="154"/>
        <v>0</v>
      </c>
    </row>
    <row r="708" spans="1:18">
      <c r="A708" t="s">
        <v>26</v>
      </c>
      <c r="B708" t="str">
        <f t="shared" si="150"/>
        <v>SHOW</v>
      </c>
      <c r="C708" t="s">
        <v>73</v>
      </c>
      <c r="D708" t="str">
        <f>"""Mission ERP"",""GBRA"",""15"",""1"",""21232"""</f>
        <v>"Mission ERP","GBRA","15","1","21232"</v>
      </c>
      <c r="E708" t="str">
        <f>"21232"</f>
        <v>21232</v>
      </c>
      <c r="F708" t="str">
        <f>"BOND-2022 REV IMP SUNFIELD WW"</f>
        <v>BOND-2022 REV IMP SUNFIELD WW</v>
      </c>
      <c r="I708" s="8">
        <v>53750</v>
      </c>
      <c r="J708" s="8"/>
      <c r="K708" s="8">
        <v>379167</v>
      </c>
      <c r="L708" s="8"/>
      <c r="M708" s="8">
        <f t="shared" si="151"/>
        <v>325417</v>
      </c>
      <c r="P708">
        <f t="shared" si="152"/>
        <v>1</v>
      </c>
      <c r="Q708">
        <f t="shared" si="153"/>
        <v>1</v>
      </c>
      <c r="R708">
        <f t="shared" si="154"/>
        <v>2</v>
      </c>
    </row>
    <row r="709" spans="1:18">
      <c r="A709" t="s">
        <v>26</v>
      </c>
      <c r="B709" t="str">
        <f t="shared" si="150"/>
        <v>SHOW</v>
      </c>
      <c r="C709" t="s">
        <v>73</v>
      </c>
      <c r="D709" t="str">
        <f>"""Mission ERP"",""GBRA"",""15"",""1"",""21233"""</f>
        <v>"Mission ERP","GBRA","15","1","21233"</v>
      </c>
      <c r="E709" t="str">
        <f>"21233"</f>
        <v>21233</v>
      </c>
      <c r="F709" t="str">
        <f>"BOND-2022A SWBARRIER CONSTRUCTION"</f>
        <v>BOND-2022A SWBARRIER CONSTRUCTION</v>
      </c>
      <c r="I709" s="8">
        <v>80417</v>
      </c>
      <c r="J709" s="8"/>
      <c r="K709" s="8">
        <v>85417</v>
      </c>
      <c r="L709" s="8"/>
      <c r="M709" s="8">
        <f t="shared" si="151"/>
        <v>5000</v>
      </c>
      <c r="P709">
        <f t="shared" si="152"/>
        <v>1</v>
      </c>
      <c r="Q709">
        <f t="shared" si="153"/>
        <v>1</v>
      </c>
      <c r="R709">
        <f t="shared" si="154"/>
        <v>2</v>
      </c>
    </row>
    <row r="710" spans="1:18">
      <c r="A710" t="s">
        <v>26</v>
      </c>
      <c r="B710" t="str">
        <f t="shared" si="150"/>
        <v>SHOW</v>
      </c>
      <c r="C710" t="s">
        <v>73</v>
      </c>
      <c r="D710" t="str">
        <f>"""Mission ERP"",""GBRA"",""15"",""1"",""21234"""</f>
        <v>"Mission ERP","GBRA","15","1","21234"</v>
      </c>
      <c r="E710" t="str">
        <f>"21234"</f>
        <v>21234</v>
      </c>
      <c r="F710" t="str">
        <f>"BOND-2023 LAKE PLACID DAM, TWDB"</f>
        <v>BOND-2023 LAKE PLACID DAM, TWDB</v>
      </c>
      <c r="I710" s="8">
        <v>175000</v>
      </c>
      <c r="J710" s="8"/>
      <c r="K710" s="8">
        <v>185000</v>
      </c>
      <c r="L710" s="8"/>
      <c r="M710" s="8">
        <f t="shared" si="151"/>
        <v>10000</v>
      </c>
      <c r="P710">
        <f t="shared" si="152"/>
        <v>1</v>
      </c>
      <c r="Q710">
        <f t="shared" si="153"/>
        <v>1</v>
      </c>
      <c r="R710">
        <f t="shared" si="154"/>
        <v>2</v>
      </c>
    </row>
    <row r="711" spans="1:18" hidden="1">
      <c r="A711" t="s">
        <v>26</v>
      </c>
      <c r="B711" t="str">
        <f t="shared" si="150"/>
        <v>HIDE</v>
      </c>
      <c r="C711" t="s">
        <v>73</v>
      </c>
      <c r="D711" t="str">
        <f>"""Mission ERP"",""GBRA"",""15"",""1"",""21235"""</f>
        <v>"Mission ERP","GBRA","15","1","21235"</v>
      </c>
      <c r="E711" t="str">
        <f>"21235"</f>
        <v>21235</v>
      </c>
      <c r="F711" t="str">
        <f>"BOND-2023 TWDB CARRIZO GRNDWTR"</f>
        <v>BOND-2023 TWDB CARRIZO GRNDWTR</v>
      </c>
      <c r="I711" s="8">
        <v>0</v>
      </c>
      <c r="J711" s="8"/>
      <c r="K711" s="8">
        <v>0</v>
      </c>
      <c r="L711" s="8"/>
      <c r="M711" s="8">
        <f t="shared" si="151"/>
        <v>0</v>
      </c>
      <c r="P711">
        <f t="shared" si="152"/>
        <v>0</v>
      </c>
      <c r="Q711">
        <f t="shared" si="153"/>
        <v>0</v>
      </c>
      <c r="R711">
        <f t="shared" si="154"/>
        <v>0</v>
      </c>
    </row>
    <row r="712" spans="1:18" hidden="1">
      <c r="A712" t="s">
        <v>26</v>
      </c>
      <c r="B712" t="str">
        <f t="shared" si="150"/>
        <v>HIDE</v>
      </c>
      <c r="C712" t="s">
        <v>73</v>
      </c>
      <c r="D712" t="str">
        <f>"""Mission ERP"",""GBRA"",""15"",""1"",""21236"""</f>
        <v>"Mission ERP","GBRA","15","1","21236"</v>
      </c>
      <c r="E712" t="str">
        <f>"21236"</f>
        <v>21236</v>
      </c>
      <c r="F712" t="str">
        <f>"BOND-2024 TWDB CARRIZO GRNDWTR"</f>
        <v>BOND-2024 TWDB CARRIZO GRNDWTR</v>
      </c>
      <c r="I712" s="8">
        <v>0</v>
      </c>
      <c r="J712" s="8"/>
      <c r="K712" s="8">
        <v>0</v>
      </c>
      <c r="L712" s="8"/>
      <c r="M712" s="8">
        <f t="shared" si="151"/>
        <v>0</v>
      </c>
      <c r="P712">
        <f t="shared" si="152"/>
        <v>0</v>
      </c>
      <c r="Q712">
        <f t="shared" si="153"/>
        <v>0</v>
      </c>
      <c r="R712">
        <f t="shared" si="154"/>
        <v>0</v>
      </c>
    </row>
    <row r="713" spans="1:18" hidden="1">
      <c r="A713" t="s">
        <v>26</v>
      </c>
      <c r="B713" t="str">
        <f t="shared" si="150"/>
        <v>HIDE</v>
      </c>
      <c r="C713" t="s">
        <v>73</v>
      </c>
      <c r="D713" t="str">
        <f>"""Mission ERP"",""GBRA"",""15"",""1"",""21237"""</f>
        <v>"Mission ERP","GBRA","15","1","21237"</v>
      </c>
      <c r="E713" t="str">
        <f>"21237"</f>
        <v>21237</v>
      </c>
      <c r="F713" t="str">
        <f>"BOND-2024 STEIN FALLS CONSTRUCTION"</f>
        <v>BOND-2024 STEIN FALLS CONSTRUCTION</v>
      </c>
      <c r="I713" s="8">
        <v>0</v>
      </c>
      <c r="J713" s="8"/>
      <c r="K713" s="8">
        <v>0</v>
      </c>
      <c r="L713" s="8"/>
      <c r="M713" s="8">
        <f t="shared" si="151"/>
        <v>0</v>
      </c>
      <c r="P713">
        <f t="shared" si="152"/>
        <v>0</v>
      </c>
      <c r="Q713">
        <f t="shared" si="153"/>
        <v>0</v>
      </c>
      <c r="R713">
        <f t="shared" si="154"/>
        <v>0</v>
      </c>
    </row>
    <row r="714" spans="1:18" hidden="1">
      <c r="A714" t="s">
        <v>26</v>
      </c>
      <c r="B714" t="str">
        <f t="shared" si="150"/>
        <v>HIDE</v>
      </c>
      <c r="C714" t="s">
        <v>73</v>
      </c>
      <c r="D714" t="str">
        <f>"""Mission ERP"",""GBRA"",""15"",""1"",""21250"""</f>
        <v>"Mission ERP","GBRA","15","1","21250"</v>
      </c>
      <c r="E714" t="str">
        <f>"21250"</f>
        <v>21250</v>
      </c>
      <c r="F714" t="str">
        <f>"OLD-DO NOT USE, BOND-AMORT-2007 RRWDS DISC"</f>
        <v>OLD-DO NOT USE, BOND-AMORT-2007 RRWDS DISC</v>
      </c>
      <c r="I714" s="8">
        <v>0</v>
      </c>
      <c r="J714" s="8"/>
      <c r="K714" s="8">
        <v>0</v>
      </c>
      <c r="L714" s="8"/>
      <c r="M714" s="8">
        <f t="shared" si="151"/>
        <v>0</v>
      </c>
      <c r="P714">
        <f t="shared" si="152"/>
        <v>0</v>
      </c>
      <c r="Q714">
        <f t="shared" si="153"/>
        <v>0</v>
      </c>
      <c r="R714">
        <f t="shared" si="154"/>
        <v>0</v>
      </c>
    </row>
    <row r="715" spans="1:18" hidden="1">
      <c r="A715" t="s">
        <v>26</v>
      </c>
      <c r="B715" t="str">
        <f t="shared" si="150"/>
        <v>HIDE</v>
      </c>
      <c r="C715" t="s">
        <v>73</v>
      </c>
      <c r="D715" t="str">
        <f>"""Mission ERP"",""GBRA"",""15"",""1"",""21251"""</f>
        <v>"Mission ERP","GBRA","15","1","21251"</v>
      </c>
      <c r="E715" t="str">
        <f>"21251"</f>
        <v>21251</v>
      </c>
      <c r="F715" t="str">
        <f>"OLD-DO NOT USE, BOND-AMORT-2011 GEN IMP PREM"</f>
        <v>OLD-DO NOT USE, BOND-AMORT-2011 GEN IMP PREM</v>
      </c>
      <c r="I715" s="8">
        <v>0</v>
      </c>
      <c r="J715" s="8"/>
      <c r="K715" s="8">
        <v>0</v>
      </c>
      <c r="L715" s="8"/>
      <c r="M715" s="8">
        <f t="shared" si="151"/>
        <v>0</v>
      </c>
      <c r="P715">
        <f t="shared" si="152"/>
        <v>0</v>
      </c>
      <c r="Q715">
        <f t="shared" si="153"/>
        <v>0</v>
      </c>
      <c r="R715">
        <f t="shared" si="154"/>
        <v>0</v>
      </c>
    </row>
    <row r="716" spans="1:18" hidden="1">
      <c r="A716" t="s">
        <v>26</v>
      </c>
      <c r="B716" t="str">
        <f t="shared" si="150"/>
        <v>HIDE</v>
      </c>
      <c r="C716" t="s">
        <v>73</v>
      </c>
      <c r="D716" t="str">
        <f>"""Mission ERP"",""GBRA"",""15"",""1"",""21252"""</f>
        <v>"Mission ERP","GBRA","15","1","21252"</v>
      </c>
      <c r="E716" t="str">
        <f>"21252"</f>
        <v>21252</v>
      </c>
      <c r="F716" t="str">
        <f>"BOND-AMORT-2013 IH35 PREM"</f>
        <v>BOND-AMORT-2013 IH35 PREM</v>
      </c>
      <c r="I716" s="8">
        <v>0</v>
      </c>
      <c r="J716" s="8"/>
      <c r="K716" s="8">
        <v>0</v>
      </c>
      <c r="L716" s="8"/>
      <c r="M716" s="8">
        <f t="shared" si="151"/>
        <v>0</v>
      </c>
      <c r="P716">
        <f t="shared" si="152"/>
        <v>0</v>
      </c>
      <c r="Q716">
        <f t="shared" si="153"/>
        <v>0</v>
      </c>
      <c r="R716">
        <f t="shared" si="154"/>
        <v>0</v>
      </c>
    </row>
    <row r="717" spans="1:18" hidden="1">
      <c r="A717" t="s">
        <v>26</v>
      </c>
      <c r="B717" t="str">
        <f t="shared" si="150"/>
        <v>HIDE</v>
      </c>
      <c r="C717" t="s">
        <v>73</v>
      </c>
      <c r="D717" t="str">
        <f>"""Mission ERP"",""GBRA"",""15"",""1"",""21253"""</f>
        <v>"Mission ERP","GBRA","15","1","21253"</v>
      </c>
      <c r="E717" t="str">
        <f>"21253"</f>
        <v>21253</v>
      </c>
      <c r="F717" t="str">
        <f>"OLD-DO NOT USE, BOND-AMORT-2013 WCANYON PREM"</f>
        <v>OLD-DO NOT USE, BOND-AMORT-2013 WCANYON PREM</v>
      </c>
      <c r="I717" s="8">
        <v>0</v>
      </c>
      <c r="J717" s="8"/>
      <c r="K717" s="8">
        <v>0</v>
      </c>
      <c r="L717" s="8"/>
      <c r="M717" s="8">
        <f t="shared" si="151"/>
        <v>0</v>
      </c>
      <c r="P717">
        <f t="shared" si="152"/>
        <v>0</v>
      </c>
      <c r="Q717">
        <f t="shared" si="153"/>
        <v>0</v>
      </c>
      <c r="R717">
        <f t="shared" si="154"/>
        <v>0</v>
      </c>
    </row>
    <row r="718" spans="1:18" hidden="1">
      <c r="A718" t="s">
        <v>26</v>
      </c>
      <c r="B718" t="str">
        <f t="shared" si="150"/>
        <v>HIDE</v>
      </c>
      <c r="C718" t="s">
        <v>73</v>
      </c>
      <c r="D718" t="str">
        <f>"""Mission ERP"",""GBRA"",""15"",""1"",""21254"""</f>
        <v>"Mission ERP","GBRA","15","1","21254"</v>
      </c>
      <c r="E718" t="str">
        <f>"21254"</f>
        <v>21254</v>
      </c>
      <c r="F718" t="str">
        <f>"BOND-AMORT-2017 RRWDS PREM"</f>
        <v>BOND-AMORT-2017 RRWDS PREM</v>
      </c>
      <c r="I718" s="8">
        <v>0</v>
      </c>
      <c r="J718" s="8"/>
      <c r="K718" s="8">
        <v>0</v>
      </c>
      <c r="L718" s="8"/>
      <c r="M718" s="8">
        <f t="shared" si="151"/>
        <v>0</v>
      </c>
      <c r="P718">
        <f t="shared" si="152"/>
        <v>0</v>
      </c>
      <c r="Q718">
        <f t="shared" si="153"/>
        <v>0</v>
      </c>
      <c r="R718">
        <f t="shared" si="154"/>
        <v>0</v>
      </c>
    </row>
    <row r="719" spans="1:18" hidden="1">
      <c r="A719" t="s">
        <v>26</v>
      </c>
      <c r="B719" t="str">
        <f t="shared" si="150"/>
        <v>HIDE</v>
      </c>
      <c r="C719" t="s">
        <v>73</v>
      </c>
      <c r="D719" t="str">
        <f>"""Mission ERP"",""GBRA"",""15"",""1"",""21255"""</f>
        <v>"Mission ERP","GBRA","15","1","21255"</v>
      </c>
      <c r="E719" t="str">
        <f>"21255"</f>
        <v>21255</v>
      </c>
      <c r="F719" t="str">
        <f>"OLD-DO NOT USE,BOND-AMORT-2017 WCANY AERATION PREM"</f>
        <v>OLD-DO NOT USE,BOND-AMORT-2017 WCANY AERATION PREM</v>
      </c>
      <c r="I719" s="8">
        <v>0</v>
      </c>
      <c r="J719" s="8"/>
      <c r="K719" s="8">
        <v>0</v>
      </c>
      <c r="L719" s="8"/>
      <c r="M719" s="8">
        <f t="shared" si="151"/>
        <v>0</v>
      </c>
      <c r="P719">
        <f t="shared" si="152"/>
        <v>0</v>
      </c>
      <c r="Q719">
        <f t="shared" si="153"/>
        <v>0</v>
      </c>
      <c r="R719">
        <f t="shared" si="154"/>
        <v>0</v>
      </c>
    </row>
    <row r="720" spans="1:18" hidden="1">
      <c r="A720" t="s">
        <v>26</v>
      </c>
      <c r="B720" t="str">
        <f t="shared" si="150"/>
        <v>HIDE</v>
      </c>
      <c r="C720" t="s">
        <v>73</v>
      </c>
      <c r="D720" t="str">
        <f>"""Mission ERP"",""GBRA"",""15"",""1"",""21256"""</f>
        <v>"Mission ERP","GBRA","15","1","21256"</v>
      </c>
      <c r="E720" t="str">
        <f>"21256"</f>
        <v>21256</v>
      </c>
      <c r="F720" t="str">
        <f>"BOND-AMORT-2020 GEN IMP REV REF PREM"</f>
        <v>BOND-AMORT-2020 GEN IMP REV REF PREM</v>
      </c>
      <c r="I720" s="8">
        <v>0</v>
      </c>
      <c r="J720" s="8"/>
      <c r="K720" s="8">
        <v>0</v>
      </c>
      <c r="L720" s="8"/>
      <c r="M720" s="8">
        <f t="shared" si="151"/>
        <v>0</v>
      </c>
      <c r="P720">
        <f t="shared" si="152"/>
        <v>0</v>
      </c>
      <c r="Q720">
        <f t="shared" si="153"/>
        <v>0</v>
      </c>
      <c r="R720">
        <f t="shared" si="154"/>
        <v>0</v>
      </c>
    </row>
    <row r="721" spans="1:18" hidden="1">
      <c r="A721" t="s">
        <v>26</v>
      </c>
      <c r="B721" t="str">
        <f t="shared" si="150"/>
        <v>HIDE</v>
      </c>
      <c r="C721" t="s">
        <v>73</v>
      </c>
      <c r="D721" t="str">
        <f>"""Mission ERP"",""GBRA"",""15"",""1"",""21257"""</f>
        <v>"Mission ERP","GBRA","15","1","21257"</v>
      </c>
      <c r="E721" t="str">
        <f>"21257"</f>
        <v>21257</v>
      </c>
      <c r="F721" t="str">
        <f>"BOND-AMORT-2020 WCANYON DISC"</f>
        <v>BOND-AMORT-2020 WCANYON DISC</v>
      </c>
      <c r="I721" s="8">
        <v>0</v>
      </c>
      <c r="J721" s="8"/>
      <c r="K721" s="8">
        <v>0</v>
      </c>
      <c r="L721" s="8"/>
      <c r="M721" s="8">
        <f t="shared" si="151"/>
        <v>0</v>
      </c>
      <c r="P721">
        <f t="shared" si="152"/>
        <v>0</v>
      </c>
      <c r="Q721">
        <f t="shared" si="153"/>
        <v>0</v>
      </c>
      <c r="R721">
        <f t="shared" si="154"/>
        <v>0</v>
      </c>
    </row>
    <row r="722" spans="1:18" hidden="1">
      <c r="A722" t="s">
        <v>26</v>
      </c>
      <c r="B722" t="str">
        <f t="shared" si="150"/>
        <v>HIDE</v>
      </c>
      <c r="C722" t="s">
        <v>73</v>
      </c>
      <c r="D722" t="str">
        <f>"""Mission ERP"",""GBRA"",""15"",""1"",""21258"""</f>
        <v>"Mission ERP","GBRA","15","1","21258"</v>
      </c>
      <c r="E722" t="str">
        <f>"21258"</f>
        <v>21258</v>
      </c>
      <c r="F722" t="str">
        <f>"BOND-AMORT-2021 STEIN FALLS/DIETZ PREM"</f>
        <v>BOND-AMORT-2021 STEIN FALLS/DIETZ PREM</v>
      </c>
      <c r="I722" s="8">
        <v>0</v>
      </c>
      <c r="J722" s="8"/>
      <c r="K722" s="8">
        <v>0</v>
      </c>
      <c r="L722" s="8"/>
      <c r="M722" s="8">
        <f t="shared" si="151"/>
        <v>0</v>
      </c>
      <c r="P722">
        <f t="shared" si="152"/>
        <v>0</v>
      </c>
      <c r="Q722">
        <f t="shared" si="153"/>
        <v>0</v>
      </c>
      <c r="R722">
        <f t="shared" si="154"/>
        <v>0</v>
      </c>
    </row>
    <row r="723" spans="1:18" hidden="1">
      <c r="A723" t="s">
        <v>26</v>
      </c>
      <c r="B723" t="str">
        <f t="shared" si="150"/>
        <v>HIDE</v>
      </c>
      <c r="C723" t="s">
        <v>73</v>
      </c>
      <c r="D723" t="str">
        <f>"""Mission ERP"",""GBRA"",""15"",""1"",""21259"""</f>
        <v>"Mission ERP","GBRA","15","1","21259"</v>
      </c>
      <c r="E723" t="str">
        <f>"21259"</f>
        <v>21259</v>
      </c>
      <c r="F723" t="str">
        <f>"BOND-AMORT-2022 NB OFFICE PREM"</f>
        <v>BOND-AMORT-2022 NB OFFICE PREM</v>
      </c>
      <c r="I723" s="8">
        <v>0</v>
      </c>
      <c r="J723" s="8"/>
      <c r="K723" s="8">
        <v>0</v>
      </c>
      <c r="L723" s="8"/>
      <c r="M723" s="8">
        <f t="shared" si="151"/>
        <v>0</v>
      </c>
      <c r="P723">
        <f t="shared" si="152"/>
        <v>0</v>
      </c>
      <c r="Q723">
        <f t="shared" si="153"/>
        <v>0</v>
      </c>
      <c r="R723">
        <f t="shared" si="154"/>
        <v>0</v>
      </c>
    </row>
    <row r="724" spans="1:18" hidden="1">
      <c r="A724" t="s">
        <v>26</v>
      </c>
      <c r="B724" t="str">
        <f t="shared" si="150"/>
        <v>HIDE</v>
      </c>
      <c r="C724" t="s">
        <v>73</v>
      </c>
      <c r="D724" t="str">
        <f>"""Mission ERP"",""GBRA"",""15"",""1"",""21260"""</f>
        <v>"Mission ERP","GBRA","15","1","21260"</v>
      </c>
      <c r="E724" t="str">
        <f>"21260"</f>
        <v>21260</v>
      </c>
      <c r="F724" t="str">
        <f>"BOND-AMORT-2022 SUNFIELD PREM"</f>
        <v>BOND-AMORT-2022 SUNFIELD PREM</v>
      </c>
      <c r="I724" s="8">
        <v>0</v>
      </c>
      <c r="J724" s="8"/>
      <c r="K724" s="8">
        <v>0</v>
      </c>
      <c r="L724" s="8"/>
      <c r="M724" s="8">
        <f t="shared" si="151"/>
        <v>0</v>
      </c>
      <c r="P724">
        <f t="shared" si="152"/>
        <v>0</v>
      </c>
      <c r="Q724">
        <f t="shared" si="153"/>
        <v>0</v>
      </c>
      <c r="R724">
        <f t="shared" si="154"/>
        <v>0</v>
      </c>
    </row>
    <row r="725" spans="1:18" hidden="1">
      <c r="A725" t="s">
        <v>26</v>
      </c>
      <c r="B725" t="str">
        <f t="shared" si="150"/>
        <v>HIDE</v>
      </c>
      <c r="C725" t="s">
        <v>73</v>
      </c>
      <c r="D725" t="str">
        <f>"""Mission ERP"",""GBRA"",""15"",""1"",""21261"""</f>
        <v>"Mission ERP","GBRA","15","1","21261"</v>
      </c>
      <c r="E725" t="str">
        <f>"21261"</f>
        <v>21261</v>
      </c>
      <c r="F725" t="str">
        <f>"BOND-AMORT-2022A SWBARRIER PREMIUM"</f>
        <v>BOND-AMORT-2022A SWBARRIER PREMIUM</v>
      </c>
      <c r="I725" s="8">
        <v>0</v>
      </c>
      <c r="J725" s="8"/>
      <c r="K725" s="8">
        <v>0</v>
      </c>
      <c r="L725" s="8"/>
      <c r="M725" s="8">
        <f t="shared" si="151"/>
        <v>0</v>
      </c>
      <c r="P725">
        <f t="shared" si="152"/>
        <v>0</v>
      </c>
      <c r="Q725">
        <f t="shared" si="153"/>
        <v>0</v>
      </c>
      <c r="R725">
        <f t="shared" si="154"/>
        <v>0</v>
      </c>
    </row>
    <row r="726" spans="1:18" hidden="1">
      <c r="A726" t="s">
        <v>26</v>
      </c>
      <c r="B726" t="str">
        <f t="shared" si="150"/>
        <v>HIDE</v>
      </c>
      <c r="C726" t="s">
        <v>73</v>
      </c>
      <c r="D726" t="str">
        <f>"""Mission ERP"",""GBRA"",""15"",""1"",""21262"""</f>
        <v>"Mission ERP","GBRA","15","1","21262"</v>
      </c>
      <c r="E726" t="str">
        <f>"21262"</f>
        <v>21262</v>
      </c>
      <c r="F726" t="str">
        <f>"BOND-AMORT-2024 STEIN FALLS PREM"</f>
        <v>BOND-AMORT-2024 STEIN FALLS PREM</v>
      </c>
      <c r="I726" s="8">
        <v>0</v>
      </c>
      <c r="J726" s="8"/>
      <c r="K726" s="8">
        <v>0</v>
      </c>
      <c r="L726" s="8"/>
      <c r="M726" s="8">
        <f t="shared" si="151"/>
        <v>0</v>
      </c>
      <c r="P726">
        <f t="shared" si="152"/>
        <v>0</v>
      </c>
      <c r="Q726">
        <f t="shared" si="153"/>
        <v>0</v>
      </c>
      <c r="R726">
        <f t="shared" si="154"/>
        <v>0</v>
      </c>
    </row>
    <row r="727" spans="1:18" hidden="1">
      <c r="A727" t="s">
        <v>26</v>
      </c>
      <c r="B727" t="str">
        <f t="shared" si="150"/>
        <v>HIDE</v>
      </c>
      <c r="C727" t="s">
        <v>73</v>
      </c>
      <c r="D727" t="str">
        <f>"""Mission ERP"",""GBRA"",""15"",""1"",""21270"""</f>
        <v>"Mission ERP","GBRA","15","1","21270"</v>
      </c>
      <c r="E727" t="str">
        <f>"21270"</f>
        <v>21270</v>
      </c>
      <c r="F727" t="str">
        <f>"OLD-DO NOT USE, DEF LOSS-2011 GEN IMP"</f>
        <v>OLD-DO NOT USE, DEF LOSS-2011 GEN IMP</v>
      </c>
      <c r="I727" s="8">
        <v>0</v>
      </c>
      <c r="J727" s="8"/>
      <c r="K727" s="8">
        <v>0</v>
      </c>
      <c r="L727" s="8"/>
      <c r="M727" s="8">
        <f t="shared" si="151"/>
        <v>0</v>
      </c>
      <c r="P727">
        <f t="shared" si="152"/>
        <v>0</v>
      </c>
      <c r="Q727">
        <f t="shared" si="153"/>
        <v>0</v>
      </c>
      <c r="R727">
        <f t="shared" si="154"/>
        <v>0</v>
      </c>
    </row>
    <row r="728" spans="1:18" hidden="1">
      <c r="A728" t="s">
        <v>26</v>
      </c>
      <c r="B728" t="str">
        <f t="shared" si="150"/>
        <v>HIDE</v>
      </c>
      <c r="C728" t="s">
        <v>73</v>
      </c>
      <c r="D728" t="str">
        <f>"""Mission ERP"",""GBRA"",""15"",""1"",""21271"""</f>
        <v>"Mission ERP","GBRA","15","1","21271"</v>
      </c>
      <c r="E728" t="str">
        <f>"21271"</f>
        <v>21271</v>
      </c>
      <c r="F728" t="str">
        <f>"DEF LOSS-2013 IH35"</f>
        <v>DEF LOSS-2013 IH35</v>
      </c>
      <c r="I728" s="8">
        <v>0</v>
      </c>
      <c r="J728" s="8"/>
      <c r="K728" s="8">
        <v>0</v>
      </c>
      <c r="L728" s="8"/>
      <c r="M728" s="8">
        <f t="shared" si="151"/>
        <v>0</v>
      </c>
      <c r="P728">
        <f t="shared" si="152"/>
        <v>0</v>
      </c>
      <c r="Q728">
        <f t="shared" si="153"/>
        <v>0</v>
      </c>
      <c r="R728">
        <f t="shared" si="154"/>
        <v>0</v>
      </c>
    </row>
    <row r="729" spans="1:18" hidden="1">
      <c r="A729" t="s">
        <v>26</v>
      </c>
      <c r="B729" t="str">
        <f t="shared" si="150"/>
        <v>HIDE</v>
      </c>
      <c r="C729" t="s">
        <v>73</v>
      </c>
      <c r="D729" t="str">
        <f>"""Mission ERP"",""GBRA"",""15"",""1"",""21272"""</f>
        <v>"Mission ERP","GBRA","15","1","21272"</v>
      </c>
      <c r="E729" t="str">
        <f>"21272"</f>
        <v>21272</v>
      </c>
      <c r="F729" t="str">
        <f>"DEF LOSS-2014 LULO PIPELINE"</f>
        <v>DEF LOSS-2014 LULO PIPELINE</v>
      </c>
      <c r="I729" s="8">
        <v>0</v>
      </c>
      <c r="J729" s="8"/>
      <c r="K729" s="8">
        <v>0</v>
      </c>
      <c r="L729" s="8"/>
      <c r="M729" s="8">
        <f t="shared" si="151"/>
        <v>0</v>
      </c>
      <c r="P729">
        <f t="shared" si="152"/>
        <v>0</v>
      </c>
      <c r="Q729">
        <f t="shared" si="153"/>
        <v>0</v>
      </c>
      <c r="R729">
        <f t="shared" si="154"/>
        <v>0</v>
      </c>
    </row>
    <row r="730" spans="1:18" hidden="1">
      <c r="A730" t="s">
        <v>26</v>
      </c>
      <c r="B730" t="str">
        <f t="shared" si="150"/>
        <v>HIDE</v>
      </c>
      <c r="C730" t="s">
        <v>73</v>
      </c>
      <c r="D730" t="str">
        <f>"""Mission ERP"",""GBRA"",""15"",""1"",""21273"""</f>
        <v>"Mission ERP","GBRA","15","1","21273"</v>
      </c>
      <c r="E730" t="str">
        <f>"21273"</f>
        <v>21273</v>
      </c>
      <c r="F730" t="str">
        <f>"OLD-DO NOT USE, DEF GAIN-2013 WCANYON"</f>
        <v>OLD-DO NOT USE, DEF GAIN-2013 WCANYON</v>
      </c>
      <c r="I730" s="8">
        <v>0</v>
      </c>
      <c r="J730" s="8"/>
      <c r="K730" s="8">
        <v>0</v>
      </c>
      <c r="L730" s="8"/>
      <c r="M730" s="8">
        <f t="shared" si="151"/>
        <v>0</v>
      </c>
      <c r="P730">
        <f t="shared" si="152"/>
        <v>0</v>
      </c>
      <c r="Q730">
        <f t="shared" si="153"/>
        <v>0</v>
      </c>
      <c r="R730">
        <f t="shared" si="154"/>
        <v>0</v>
      </c>
    </row>
    <row r="731" spans="1:18" hidden="1">
      <c r="A731" t="s">
        <v>26</v>
      </c>
      <c r="B731" t="str">
        <f t="shared" ref="B731:B734" si="155">IF(R731=0,"HIDE","SHOW")</f>
        <v>HIDE</v>
      </c>
      <c r="C731" t="s">
        <v>73</v>
      </c>
      <c r="D731" t="str">
        <f>"""Mission ERP"",""GBRA"",""15"",""1"",""21274"""</f>
        <v>"Mission ERP","GBRA","15","1","21274"</v>
      </c>
      <c r="E731" t="str">
        <f>"21274"</f>
        <v>21274</v>
      </c>
      <c r="F731" t="str">
        <f>"DEF GAIN-2020 GEN IMP REV REF"</f>
        <v>DEF GAIN-2020 GEN IMP REV REF</v>
      </c>
      <c r="I731" s="8">
        <v>0</v>
      </c>
      <c r="J731" s="8"/>
      <c r="K731" s="8">
        <v>0</v>
      </c>
      <c r="L731" s="8"/>
      <c r="M731" s="8">
        <f t="shared" ref="M731:M734" si="156">K731-I731</f>
        <v>0</v>
      </c>
      <c r="P731">
        <f t="shared" ref="P731:P734" si="157">IF(I731=0,0,1)</f>
        <v>0</v>
      </c>
      <c r="Q731">
        <f t="shared" ref="Q731:Q734" si="158">IF(K731=0,0,1)</f>
        <v>0</v>
      </c>
      <c r="R731">
        <f t="shared" ref="R731:R734" si="159">P731+Q731</f>
        <v>0</v>
      </c>
    </row>
    <row r="732" spans="1:18" hidden="1">
      <c r="A732" t="s">
        <v>26</v>
      </c>
      <c r="B732" t="str">
        <f t="shared" si="155"/>
        <v>HIDE</v>
      </c>
      <c r="C732" t="s">
        <v>73</v>
      </c>
      <c r="D732" t="str">
        <f>"""Mission ERP"",""GBRA"",""15"",""1"",""21290"""</f>
        <v>"Mission ERP","GBRA","15","1","21290"</v>
      </c>
      <c r="E732" t="str">
        <f>"21290"</f>
        <v>21290</v>
      </c>
      <c r="F732" t="str">
        <f>"CURRENT, LONG-TERM LOANS"</f>
        <v>CURRENT, LONG-TERM LOANS</v>
      </c>
      <c r="I732" s="8">
        <v>0</v>
      </c>
      <c r="J732" s="8"/>
      <c r="K732" s="8">
        <v>0</v>
      </c>
      <c r="L732" s="8"/>
      <c r="M732" s="8">
        <f t="shared" si="156"/>
        <v>0</v>
      </c>
      <c r="P732">
        <f t="shared" si="157"/>
        <v>0</v>
      </c>
      <c r="Q732">
        <f t="shared" si="158"/>
        <v>0</v>
      </c>
      <c r="R732">
        <f t="shared" si="159"/>
        <v>0</v>
      </c>
    </row>
    <row r="733" spans="1:18" hidden="1">
      <c r="A733" t="s">
        <v>26</v>
      </c>
      <c r="B733" t="str">
        <f t="shared" si="155"/>
        <v>HIDE</v>
      </c>
      <c r="C733" t="s">
        <v>73</v>
      </c>
      <c r="D733" t="str">
        <f>"""Mission ERP"",""GBRA"",""15"",""1"",""21291"""</f>
        <v>"Mission ERP","GBRA","15","1","21291"</v>
      </c>
      <c r="E733" t="str">
        <f>"21291"</f>
        <v>21291</v>
      </c>
      <c r="F733" t="str">
        <f>"CURRENT, REVENUE BONDS"</f>
        <v>CURRENT, REVENUE BONDS</v>
      </c>
      <c r="I733" s="8">
        <v>0</v>
      </c>
      <c r="J733" s="8"/>
      <c r="K733" s="8">
        <v>0</v>
      </c>
      <c r="L733" s="8"/>
      <c r="M733" s="8">
        <f t="shared" si="156"/>
        <v>0</v>
      </c>
      <c r="P733">
        <f t="shared" si="157"/>
        <v>0</v>
      </c>
      <c r="Q733">
        <f t="shared" si="158"/>
        <v>0</v>
      </c>
      <c r="R733">
        <f t="shared" si="159"/>
        <v>0</v>
      </c>
    </row>
    <row r="734" spans="1:18" hidden="1">
      <c r="A734" t="s">
        <v>26</v>
      </c>
      <c r="B734" t="str">
        <f t="shared" si="155"/>
        <v>HIDE</v>
      </c>
      <c r="C734" t="s">
        <v>73</v>
      </c>
      <c r="D734" t="str">
        <f>"""Mission ERP"",""GBRA"",""15"",""1"",""21292"""</f>
        <v>"Mission ERP","GBRA","15","1","21292"</v>
      </c>
      <c r="E734" t="str">
        <f>"21292"</f>
        <v>21292</v>
      </c>
      <c r="F734" t="str">
        <f>"LESS CURRENT PORTION"</f>
        <v>LESS CURRENT PORTION</v>
      </c>
      <c r="I734" s="8">
        <v>0</v>
      </c>
      <c r="J734" s="8"/>
      <c r="K734" s="8">
        <v>0</v>
      </c>
      <c r="L734" s="8"/>
      <c r="M734" s="8">
        <f t="shared" si="156"/>
        <v>0</v>
      </c>
      <c r="P734">
        <f t="shared" si="157"/>
        <v>0</v>
      </c>
      <c r="Q734">
        <f t="shared" si="158"/>
        <v>0</v>
      </c>
      <c r="R734">
        <f t="shared" si="159"/>
        <v>0</v>
      </c>
    </row>
    <row r="735" spans="1:18" hidden="1">
      <c r="B735" t="s">
        <v>16</v>
      </c>
      <c r="I735" s="9"/>
      <c r="J735" s="8"/>
      <c r="K735" s="9"/>
      <c r="L735" s="8"/>
      <c r="M735" s="9"/>
    </row>
    <row r="736" spans="1:18">
      <c r="B736" t="str">
        <f>IF(R736=0,"HIDE","SHOW")</f>
        <v>SHOW</v>
      </c>
      <c r="F736" s="3" t="str">
        <f>CONCATENATE("Total ",F665)</f>
        <v>Total Principal Payments Expense</v>
      </c>
      <c r="I736" s="10">
        <f>SUM(I666:I735)</f>
        <v>15618688</v>
      </c>
      <c r="J736" s="11"/>
      <c r="K736" s="10">
        <f>SUM(K666:K735)</f>
        <v>16157840</v>
      </c>
      <c r="L736" s="11"/>
      <c r="M736" s="10">
        <f>K736-I736</f>
        <v>539152</v>
      </c>
      <c r="P736">
        <f>IF(I736=0,0,1)</f>
        <v>1</v>
      </c>
      <c r="Q736">
        <f>IF(K736=0,0,1)</f>
        <v>1</v>
      </c>
      <c r="R736">
        <f>P736+Q736</f>
        <v>2</v>
      </c>
    </row>
    <row r="737" spans="1:18">
      <c r="B737" t="str">
        <f>B736</f>
        <v>SHOW</v>
      </c>
      <c r="I737" s="8"/>
      <c r="J737" s="8"/>
      <c r="K737" s="8"/>
      <c r="L737" s="8"/>
      <c r="M737" s="8"/>
    </row>
    <row r="738" spans="1:18">
      <c r="B738" t="str">
        <f>B771</f>
        <v>SHOW</v>
      </c>
      <c r="F738" s="3" t="s">
        <v>74</v>
      </c>
      <c r="I738" s="8"/>
      <c r="J738" s="8"/>
      <c r="K738" s="8"/>
      <c r="L738" s="8"/>
      <c r="M738" s="13"/>
    </row>
    <row r="739" spans="1:18" hidden="1">
      <c r="B739" t="str">
        <f>IF(R739=0,"HIDE","SHOW")</f>
        <v>HIDE</v>
      </c>
      <c r="C739" t="s">
        <v>75</v>
      </c>
      <c r="D739" t="str">
        <f>"""Mission ERP"",""GBRA"",""15"",""1"",""57101"""</f>
        <v>"Mission ERP","GBRA","15","1","57101"</v>
      </c>
      <c r="E739" t="str">
        <f>"57101"</f>
        <v>57101</v>
      </c>
      <c r="F739" t="str">
        <f>"INT-LONG TERM LOANS"</f>
        <v>INT-LONG TERM LOANS</v>
      </c>
      <c r="I739" s="8">
        <v>0</v>
      </c>
      <c r="J739" s="8"/>
      <c r="K739" s="8">
        <v>0</v>
      </c>
      <c r="L739" s="8"/>
      <c r="M739" s="8">
        <f>K739-I739</f>
        <v>0</v>
      </c>
      <c r="P739">
        <f>IF(I739=0,0,1)</f>
        <v>0</v>
      </c>
      <c r="Q739">
        <f>IF(K739=0,0,1)</f>
        <v>0</v>
      </c>
      <c r="R739">
        <f>P739+Q739</f>
        <v>0</v>
      </c>
    </row>
    <row r="740" spans="1:18" hidden="1">
      <c r="A740" t="s">
        <v>26</v>
      </c>
      <c r="B740" t="str">
        <f t="shared" ref="B740:B769" si="160">IF(R740=0,"HIDE","SHOW")</f>
        <v>HIDE</v>
      </c>
      <c r="C740" t="s">
        <v>75</v>
      </c>
      <c r="D740" t="str">
        <f>"""Mission ERP"",""GBRA"",""15"",""1"",""57102"""</f>
        <v>"Mission ERP","GBRA","15","1","57102"</v>
      </c>
      <c r="E740" t="str">
        <f>"57102"</f>
        <v>57102</v>
      </c>
      <c r="F740" t="str">
        <f>"INT-CLEARWELL, Frost"</f>
        <v>INT-CLEARWELL, Frost</v>
      </c>
      <c r="I740" s="8">
        <v>0</v>
      </c>
      <c r="J740" s="8"/>
      <c r="K740" s="8">
        <v>0</v>
      </c>
      <c r="L740" s="8"/>
      <c r="M740" s="8">
        <f t="shared" ref="M740:M769" si="161">K740-I740</f>
        <v>0</v>
      </c>
      <c r="P740">
        <f t="shared" ref="P740:P769" si="162">IF(I740=0,0,1)</f>
        <v>0</v>
      </c>
      <c r="Q740">
        <f t="shared" ref="Q740:Q769" si="163">IF(K740=0,0,1)</f>
        <v>0</v>
      </c>
      <c r="R740">
        <f t="shared" ref="R740:R769" si="164">P740+Q740</f>
        <v>0</v>
      </c>
    </row>
    <row r="741" spans="1:18">
      <c r="A741" t="s">
        <v>26</v>
      </c>
      <c r="B741" t="str">
        <f t="shared" si="160"/>
        <v>SHOW</v>
      </c>
      <c r="C741" t="s">
        <v>75</v>
      </c>
      <c r="D741" t="str">
        <f>"""Mission ERP"",""GBRA"",""15"",""1"",""57103"""</f>
        <v>"Mission ERP","GBRA","15","1","57103"</v>
      </c>
      <c r="E741" t="str">
        <f>"57103"</f>
        <v>57103</v>
      </c>
      <c r="F741" t="str">
        <f>"INT-LULO BONDS"</f>
        <v>INT-LULO BONDS</v>
      </c>
      <c r="I741" s="8">
        <v>68468</v>
      </c>
      <c r="J741" s="8"/>
      <c r="K741" s="8">
        <v>56709</v>
      </c>
      <c r="L741" s="8"/>
      <c r="M741" s="8">
        <f t="shared" si="161"/>
        <v>-11759</v>
      </c>
      <c r="P741">
        <f t="shared" si="162"/>
        <v>1</v>
      </c>
      <c r="Q741">
        <f t="shared" si="163"/>
        <v>1</v>
      </c>
      <c r="R741">
        <f t="shared" si="164"/>
        <v>2</v>
      </c>
    </row>
    <row r="742" spans="1:18">
      <c r="A742" t="s">
        <v>26</v>
      </c>
      <c r="B742" t="str">
        <f t="shared" si="160"/>
        <v>SHOW</v>
      </c>
      <c r="C742" t="s">
        <v>75</v>
      </c>
      <c r="D742" t="str">
        <f>"""Mission ERP"",""GBRA"",""15"",""1"",""57201"""</f>
        <v>"Mission ERP","GBRA","15","1","57201"</v>
      </c>
      <c r="E742" t="str">
        <f>"57201"</f>
        <v>57201</v>
      </c>
      <c r="F742" t="str">
        <f>"INT-1977 CANYON COE"</f>
        <v>INT-1977 CANYON COE</v>
      </c>
      <c r="I742" s="8">
        <v>9371</v>
      </c>
      <c r="J742" s="8"/>
      <c r="K742" s="8">
        <v>1883</v>
      </c>
      <c r="L742" s="8"/>
      <c r="M742" s="8">
        <f t="shared" si="161"/>
        <v>-7488</v>
      </c>
      <c r="P742">
        <f t="shared" si="162"/>
        <v>1</v>
      </c>
      <c r="Q742">
        <f t="shared" si="163"/>
        <v>1</v>
      </c>
      <c r="R742">
        <f t="shared" si="164"/>
        <v>2</v>
      </c>
    </row>
    <row r="743" spans="1:18" hidden="1">
      <c r="A743" t="s">
        <v>26</v>
      </c>
      <c r="B743" t="str">
        <f t="shared" si="160"/>
        <v>HIDE</v>
      </c>
      <c r="C743" t="s">
        <v>75</v>
      </c>
      <c r="D743" t="str">
        <f>"""Mission ERP"",""GBRA"",""15"",""1"",""57202"""</f>
        <v>"Mission ERP","GBRA","15","1","57202"</v>
      </c>
      <c r="E743" t="str">
        <f>"57202"</f>
        <v>57202</v>
      </c>
      <c r="F743" t="str">
        <f>"OLD-DO NOT USE, INT-2006 WATER RIGHTS"</f>
        <v>OLD-DO NOT USE, INT-2006 WATER RIGHTS</v>
      </c>
      <c r="I743" s="8">
        <v>0</v>
      </c>
      <c r="J743" s="8"/>
      <c r="K743" s="8">
        <v>0</v>
      </c>
      <c r="L743" s="8"/>
      <c r="M743" s="8">
        <f t="shared" si="161"/>
        <v>0</v>
      </c>
      <c r="P743">
        <f t="shared" si="162"/>
        <v>0</v>
      </c>
      <c r="Q743">
        <f t="shared" si="163"/>
        <v>0</v>
      </c>
      <c r="R743">
        <f t="shared" si="164"/>
        <v>0</v>
      </c>
    </row>
    <row r="744" spans="1:18">
      <c r="A744" t="s">
        <v>26</v>
      </c>
      <c r="B744" t="str">
        <f t="shared" si="160"/>
        <v>SHOW</v>
      </c>
      <c r="C744" t="s">
        <v>75</v>
      </c>
      <c r="D744" t="str">
        <f>"""Mission ERP"",""GBRA"",""15"",""1"",""57203"""</f>
        <v>"Mission ERP","GBRA","15","1","57203"</v>
      </c>
      <c r="E744" t="str">
        <f>"57203"</f>
        <v>57203</v>
      </c>
      <c r="F744" t="str">
        <f>"INT-2007 RRWDS"</f>
        <v>INT-2007 RRWDS</v>
      </c>
      <c r="I744" s="8">
        <v>296115</v>
      </c>
      <c r="J744" s="8"/>
      <c r="K744" s="8">
        <v>283861</v>
      </c>
      <c r="L744" s="8"/>
      <c r="M744" s="8">
        <f t="shared" si="161"/>
        <v>-12254</v>
      </c>
      <c r="P744">
        <f t="shared" si="162"/>
        <v>1</v>
      </c>
      <c r="Q744">
        <f t="shared" si="163"/>
        <v>1</v>
      </c>
      <c r="R744">
        <f t="shared" si="164"/>
        <v>2</v>
      </c>
    </row>
    <row r="745" spans="1:18" hidden="1">
      <c r="A745" t="s">
        <v>26</v>
      </c>
      <c r="B745" t="str">
        <f t="shared" si="160"/>
        <v>HIDE</v>
      </c>
      <c r="C745" t="s">
        <v>75</v>
      </c>
      <c r="D745" t="str">
        <f>"""Mission ERP"",""GBRA"",""15"",""1"",""57204"""</f>
        <v>"Mission ERP","GBRA","15","1","57204"</v>
      </c>
      <c r="E745" t="str">
        <f>"57204"</f>
        <v>57204</v>
      </c>
      <c r="F745" t="str">
        <f>"INT-2010 RRWDS"</f>
        <v>INT-2010 RRWDS</v>
      </c>
      <c r="I745" s="8">
        <v>0</v>
      </c>
      <c r="J745" s="8"/>
      <c r="K745" s="8">
        <v>0</v>
      </c>
      <c r="L745" s="8"/>
      <c r="M745" s="8">
        <f t="shared" si="161"/>
        <v>0</v>
      </c>
      <c r="P745">
        <f t="shared" si="162"/>
        <v>0</v>
      </c>
      <c r="Q745">
        <f t="shared" si="163"/>
        <v>0</v>
      </c>
      <c r="R745">
        <f t="shared" si="164"/>
        <v>0</v>
      </c>
    </row>
    <row r="746" spans="1:18">
      <c r="A746" t="s">
        <v>26</v>
      </c>
      <c r="B746" t="str">
        <f t="shared" si="160"/>
        <v>SHOW</v>
      </c>
      <c r="C746" t="s">
        <v>75</v>
      </c>
      <c r="D746" t="str">
        <f>"""Mission ERP"",""GBRA"",""15"",""1"",""57205"""</f>
        <v>"Mission ERP","GBRA","15","1","57205"</v>
      </c>
      <c r="E746" t="str">
        <f>"57205"</f>
        <v>57205</v>
      </c>
      <c r="F746" t="str">
        <f>"INT-2020 GEN IMP BONDS"</f>
        <v>INT-2020 GEN IMP BONDS</v>
      </c>
      <c r="I746" s="8">
        <v>92225</v>
      </c>
      <c r="J746" s="8"/>
      <c r="K746" s="8">
        <v>76875</v>
      </c>
      <c r="L746" s="8"/>
      <c r="M746" s="8">
        <f t="shared" si="161"/>
        <v>-15350</v>
      </c>
      <c r="P746">
        <f t="shared" si="162"/>
        <v>1</v>
      </c>
      <c r="Q746">
        <f t="shared" si="163"/>
        <v>1</v>
      </c>
      <c r="R746">
        <f t="shared" si="164"/>
        <v>2</v>
      </c>
    </row>
    <row r="747" spans="1:18">
      <c r="A747" t="s">
        <v>26</v>
      </c>
      <c r="B747" t="str">
        <f t="shared" si="160"/>
        <v>SHOW</v>
      </c>
      <c r="C747" t="s">
        <v>75</v>
      </c>
      <c r="D747" t="str">
        <f>"""Mission ERP"",""GBRA"",""15"",""1"",""57206"""</f>
        <v>"Mission ERP","GBRA","15","1","57206"</v>
      </c>
      <c r="E747" t="str">
        <f>"57206"</f>
        <v>57206</v>
      </c>
      <c r="F747" t="str">
        <f>"INT-2012 MID-BASIN BONDS"</f>
        <v>INT-2012 MID-BASIN BONDS</v>
      </c>
      <c r="I747" s="8">
        <v>26734</v>
      </c>
      <c r="J747" s="8"/>
      <c r="K747" s="8">
        <v>23867</v>
      </c>
      <c r="L747" s="8"/>
      <c r="M747" s="8">
        <f t="shared" si="161"/>
        <v>-2867</v>
      </c>
      <c r="P747">
        <f t="shared" si="162"/>
        <v>1</v>
      </c>
      <c r="Q747">
        <f t="shared" si="163"/>
        <v>1</v>
      </c>
      <c r="R747">
        <f t="shared" si="164"/>
        <v>2</v>
      </c>
    </row>
    <row r="748" spans="1:18">
      <c r="A748" t="s">
        <v>26</v>
      </c>
      <c r="B748" t="str">
        <f t="shared" si="160"/>
        <v>SHOW</v>
      </c>
      <c r="C748" t="s">
        <v>75</v>
      </c>
      <c r="D748" t="str">
        <f>"""Mission ERP"",""GBRA"",""15"",""1"",""57207"""</f>
        <v>"Mission ERP","GBRA","15","1","57207"</v>
      </c>
      <c r="E748" t="str">
        <f>"57207"</f>
        <v>57207</v>
      </c>
      <c r="F748" t="str">
        <f>"INT-2013 IH35 BONDS"</f>
        <v>INT-2013 IH35 BONDS</v>
      </c>
      <c r="I748" s="8">
        <v>432856</v>
      </c>
      <c r="J748" s="8"/>
      <c r="K748" s="8">
        <v>409774</v>
      </c>
      <c r="L748" s="8"/>
      <c r="M748" s="8">
        <f t="shared" si="161"/>
        <v>-23082</v>
      </c>
      <c r="P748">
        <f t="shared" si="162"/>
        <v>1</v>
      </c>
      <c r="Q748">
        <f t="shared" si="163"/>
        <v>1</v>
      </c>
      <c r="R748">
        <f t="shared" si="164"/>
        <v>2</v>
      </c>
    </row>
    <row r="749" spans="1:18">
      <c r="A749" t="s">
        <v>26</v>
      </c>
      <c r="B749" t="str">
        <f t="shared" si="160"/>
        <v>SHOW</v>
      </c>
      <c r="C749" t="s">
        <v>75</v>
      </c>
      <c r="D749" t="str">
        <f>"""Mission ERP"",""GBRA"",""15"",""1"",""57208"""</f>
        <v>"Mission ERP","GBRA","15","1","57208"</v>
      </c>
      <c r="E749" t="str">
        <f>"57208"</f>
        <v>57208</v>
      </c>
      <c r="F749" t="str">
        <f>"INT-2020 WCANYON BONDS"</f>
        <v>INT-2020 WCANYON BONDS</v>
      </c>
      <c r="I749" s="8">
        <v>691517</v>
      </c>
      <c r="J749" s="8"/>
      <c r="K749" s="8">
        <v>650292</v>
      </c>
      <c r="L749" s="8"/>
      <c r="M749" s="8">
        <f t="shared" si="161"/>
        <v>-41225</v>
      </c>
      <c r="P749">
        <f t="shared" si="162"/>
        <v>1</v>
      </c>
      <c r="Q749">
        <f t="shared" si="163"/>
        <v>1</v>
      </c>
      <c r="R749">
        <f t="shared" si="164"/>
        <v>2</v>
      </c>
    </row>
    <row r="750" spans="1:18" hidden="1">
      <c r="A750" t="s">
        <v>26</v>
      </c>
      <c r="B750" t="str">
        <f t="shared" si="160"/>
        <v>HIDE</v>
      </c>
      <c r="C750" t="s">
        <v>75</v>
      </c>
      <c r="D750" t="str">
        <f>"""Mission ERP"",""GBRA"",""15"",""1"",""57209"""</f>
        <v>"Mission ERP","GBRA","15","1","57209"</v>
      </c>
      <c r="E750" t="str">
        <f>"57209"</f>
        <v>57209</v>
      </c>
      <c r="F750" t="str">
        <f>"INT-2014 STEIN FALLS, Generator"</f>
        <v>INT-2014 STEIN FALLS, Generator</v>
      </c>
      <c r="I750" s="8">
        <v>0</v>
      </c>
      <c r="J750" s="8"/>
      <c r="K750" s="8">
        <v>0</v>
      </c>
      <c r="L750" s="8"/>
      <c r="M750" s="8">
        <f t="shared" si="161"/>
        <v>0</v>
      </c>
      <c r="P750">
        <f t="shared" si="162"/>
        <v>0</v>
      </c>
      <c r="Q750">
        <f t="shared" si="163"/>
        <v>0</v>
      </c>
      <c r="R750">
        <f t="shared" si="164"/>
        <v>0</v>
      </c>
    </row>
    <row r="751" spans="1:18">
      <c r="A751" t="s">
        <v>26</v>
      </c>
      <c r="B751" t="str">
        <f t="shared" si="160"/>
        <v>SHOW</v>
      </c>
      <c r="C751" t="s">
        <v>75</v>
      </c>
      <c r="D751" t="str">
        <f>"""Mission ERP"",""GBRA"",""15"",""1"",""57210"""</f>
        <v>"Mission ERP","GBRA","15","1","57210"</v>
      </c>
      <c r="E751" t="str">
        <f>"57210"</f>
        <v>57210</v>
      </c>
      <c r="F751" t="str">
        <f>"INT-2016 SMWTP"</f>
        <v>INT-2016 SMWTP</v>
      </c>
      <c r="I751" s="8">
        <v>158206</v>
      </c>
      <c r="J751" s="8"/>
      <c r="K751" s="8">
        <v>154906</v>
      </c>
      <c r="L751" s="8"/>
      <c r="M751" s="8">
        <f t="shared" si="161"/>
        <v>-3300</v>
      </c>
      <c r="P751">
        <f t="shared" si="162"/>
        <v>1</v>
      </c>
      <c r="Q751">
        <f t="shared" si="163"/>
        <v>1</v>
      </c>
      <c r="R751">
        <f t="shared" si="164"/>
        <v>2</v>
      </c>
    </row>
    <row r="752" spans="1:18" hidden="1">
      <c r="A752" t="s">
        <v>26</v>
      </c>
      <c r="B752" t="str">
        <f t="shared" si="160"/>
        <v>HIDE</v>
      </c>
      <c r="C752" t="s">
        <v>75</v>
      </c>
      <c r="D752" t="str">
        <f>"""Mission ERP"",""GBRA"",""15"",""1"",""57211"""</f>
        <v>"Mission ERP","GBRA","15","1","57211"</v>
      </c>
      <c r="E752" t="str">
        <f>"57211"</f>
        <v>57211</v>
      </c>
      <c r="F752" t="str">
        <f>"OLD-DO NOT USE, INT-2016 PRESS/TRUCK/GENERATOR, WFargo"</f>
        <v>OLD-DO NOT USE, INT-2016 PRESS/TRUCK/GENERATOR, WFargo</v>
      </c>
      <c r="I752" s="8">
        <v>0</v>
      </c>
      <c r="J752" s="8"/>
      <c r="K752" s="8">
        <v>0</v>
      </c>
      <c r="L752" s="8"/>
      <c r="M752" s="8">
        <f t="shared" si="161"/>
        <v>0</v>
      </c>
      <c r="P752">
        <f t="shared" si="162"/>
        <v>0</v>
      </c>
      <c r="Q752">
        <f t="shared" si="163"/>
        <v>0</v>
      </c>
      <c r="R752">
        <f t="shared" si="164"/>
        <v>0</v>
      </c>
    </row>
    <row r="753" spans="1:18">
      <c r="A753" t="s">
        <v>26</v>
      </c>
      <c r="B753" t="str">
        <f t="shared" si="160"/>
        <v>SHOW</v>
      </c>
      <c r="C753" t="s">
        <v>75</v>
      </c>
      <c r="D753" t="str">
        <f>"""Mission ERP"",""GBRA"",""15"",""1"",""57212"""</f>
        <v>"Mission ERP","GBRA","15","1","57212"</v>
      </c>
      <c r="E753" t="str">
        <f>"57212"</f>
        <v>57212</v>
      </c>
      <c r="F753" t="str">
        <f>"INT-2017 RRWDS"</f>
        <v>INT-2017 RRWDS</v>
      </c>
      <c r="I753" s="8">
        <v>201698</v>
      </c>
      <c r="J753" s="8"/>
      <c r="K753" s="8">
        <v>189698</v>
      </c>
      <c r="L753" s="8"/>
      <c r="M753" s="8">
        <f t="shared" si="161"/>
        <v>-12000</v>
      </c>
      <c r="P753">
        <f t="shared" si="162"/>
        <v>1</v>
      </c>
      <c r="Q753">
        <f t="shared" si="163"/>
        <v>1</v>
      </c>
      <c r="R753">
        <f t="shared" si="164"/>
        <v>2</v>
      </c>
    </row>
    <row r="754" spans="1:18" hidden="1">
      <c r="A754" t="s">
        <v>26</v>
      </c>
      <c r="B754" t="str">
        <f t="shared" si="160"/>
        <v>HIDE</v>
      </c>
      <c r="C754" t="s">
        <v>75</v>
      </c>
      <c r="D754" t="str">
        <f>"""Mission ERP"",""GBRA"",""15"",""1"",""57213"""</f>
        <v>"Mission ERP","GBRA","15","1","57213"</v>
      </c>
      <c r="E754" t="str">
        <f>"57213"</f>
        <v>57213</v>
      </c>
      <c r="F754" t="str">
        <f>"OLD-DO NOT USE, INT-2017 GCGW WATER RIGHTS"</f>
        <v>OLD-DO NOT USE, INT-2017 GCGW WATER RIGHTS</v>
      </c>
      <c r="I754" s="8">
        <v>0</v>
      </c>
      <c r="J754" s="8"/>
      <c r="K754" s="8">
        <v>0</v>
      </c>
      <c r="L754" s="8"/>
      <c r="M754" s="8">
        <f t="shared" si="161"/>
        <v>0</v>
      </c>
      <c r="P754">
        <f t="shared" si="162"/>
        <v>0</v>
      </c>
      <c r="Q754">
        <f t="shared" si="163"/>
        <v>0</v>
      </c>
      <c r="R754">
        <f t="shared" si="164"/>
        <v>0</v>
      </c>
    </row>
    <row r="755" spans="1:18" hidden="1">
      <c r="A755" t="s">
        <v>26</v>
      </c>
      <c r="B755" t="str">
        <f t="shared" si="160"/>
        <v>HIDE</v>
      </c>
      <c r="C755" t="s">
        <v>75</v>
      </c>
      <c r="D755" t="str">
        <f>"""Mission ERP"",""GBRA"",""15"",""1"",""57214"""</f>
        <v>"Mission ERP","GBRA","15","1","57214"</v>
      </c>
      <c r="E755" t="str">
        <f>"57214"</f>
        <v>57214</v>
      </c>
      <c r="F755" t="str">
        <f>"INT-2020 WCANYON REFUND BONDS"</f>
        <v>INT-2020 WCANYON REFUND BONDS</v>
      </c>
      <c r="I755" s="8">
        <v>0</v>
      </c>
      <c r="J755" s="8"/>
      <c r="K755" s="8">
        <v>0</v>
      </c>
      <c r="L755" s="8"/>
      <c r="M755" s="8">
        <f t="shared" si="161"/>
        <v>0</v>
      </c>
      <c r="P755">
        <f t="shared" si="162"/>
        <v>0</v>
      </c>
      <c r="Q755">
        <f t="shared" si="163"/>
        <v>0</v>
      </c>
      <c r="R755">
        <f t="shared" si="164"/>
        <v>0</v>
      </c>
    </row>
    <row r="756" spans="1:18">
      <c r="A756" t="s">
        <v>26</v>
      </c>
      <c r="B756" t="str">
        <f t="shared" si="160"/>
        <v>SHOW</v>
      </c>
      <c r="C756" t="s">
        <v>75</v>
      </c>
      <c r="D756" t="str">
        <f>"""Mission ERP"",""GBRA"",""15"",""1"",""57215"""</f>
        <v>"Mission ERP","GBRA","15","1","57215"</v>
      </c>
      <c r="E756" t="str">
        <f>"57215"</f>
        <v>57215</v>
      </c>
      <c r="F756" t="str">
        <f>"INT-2018-24 CARRIZO GROUNDWATER, TWDB"</f>
        <v>INT-2018-24 CARRIZO GROUNDWATER, TWDB</v>
      </c>
      <c r="I756" s="8">
        <v>4334291</v>
      </c>
      <c r="J756" s="8"/>
      <c r="K756" s="8">
        <v>8707690</v>
      </c>
      <c r="L756" s="8"/>
      <c r="M756" s="8">
        <f t="shared" si="161"/>
        <v>4373399</v>
      </c>
      <c r="P756">
        <f t="shared" si="162"/>
        <v>1</v>
      </c>
      <c r="Q756">
        <f t="shared" si="163"/>
        <v>1</v>
      </c>
      <c r="R756">
        <f t="shared" si="164"/>
        <v>2</v>
      </c>
    </row>
    <row r="757" spans="1:18">
      <c r="A757" t="s">
        <v>26</v>
      </c>
      <c r="B757" t="str">
        <f t="shared" si="160"/>
        <v>SHOW</v>
      </c>
      <c r="C757" t="s">
        <v>75</v>
      </c>
      <c r="D757" t="str">
        <f>"""Mission ERP"",""GBRA"",""15"",""1"",""57216"""</f>
        <v>"Mission ERP","GBRA","15","1","57216"</v>
      </c>
      <c r="E757" t="str">
        <f>"57216"</f>
        <v>57216</v>
      </c>
      <c r="F757" t="str">
        <f>"INT-2021 LAKE DUNLAP DAM, TWDB"</f>
        <v>INT-2021 LAKE DUNLAP DAM, TWDB</v>
      </c>
      <c r="I757" s="8">
        <v>33649</v>
      </c>
      <c r="J757" s="8"/>
      <c r="K757" s="8">
        <v>33649</v>
      </c>
      <c r="L757" s="8"/>
      <c r="M757" s="8">
        <f t="shared" si="161"/>
        <v>0</v>
      </c>
      <c r="P757">
        <f t="shared" si="162"/>
        <v>1</v>
      </c>
      <c r="Q757">
        <f t="shared" si="163"/>
        <v>1</v>
      </c>
      <c r="R757">
        <f t="shared" si="164"/>
        <v>2</v>
      </c>
    </row>
    <row r="758" spans="1:18">
      <c r="A758" t="s">
        <v>26</v>
      </c>
      <c r="B758" t="str">
        <f t="shared" si="160"/>
        <v>SHOW</v>
      </c>
      <c r="C758" t="s">
        <v>75</v>
      </c>
      <c r="D758" t="str">
        <f>"""Mission ERP"",""GBRA"",""15"",""1"",""57217"""</f>
        <v>"Mission ERP","GBRA","15","1","57217"</v>
      </c>
      <c r="E758" t="str">
        <f>"57217"</f>
        <v>57217</v>
      </c>
      <c r="F758" t="str">
        <f>"INT-2021 LAKE McQUEENEY DAM, TWDB"</f>
        <v>INT-2021 LAKE McQUEENEY DAM, TWDB</v>
      </c>
      <c r="I758" s="8">
        <v>515490</v>
      </c>
      <c r="J758" s="8"/>
      <c r="K758" s="8">
        <v>507900</v>
      </c>
      <c r="L758" s="8"/>
      <c r="M758" s="8">
        <f t="shared" si="161"/>
        <v>-7590</v>
      </c>
      <c r="P758">
        <f t="shared" si="162"/>
        <v>1</v>
      </c>
      <c r="Q758">
        <f t="shared" si="163"/>
        <v>1</v>
      </c>
      <c r="R758">
        <f t="shared" si="164"/>
        <v>2</v>
      </c>
    </row>
    <row r="759" spans="1:18">
      <c r="A759" t="s">
        <v>26</v>
      </c>
      <c r="B759" t="str">
        <f t="shared" si="160"/>
        <v>SHOW</v>
      </c>
      <c r="C759" t="s">
        <v>75</v>
      </c>
      <c r="D759" t="str">
        <f>"""Mission ERP"",""GBRA"",""15"",""1"",""57218"""</f>
        <v>"Mission ERP","GBRA","15","1","57218"</v>
      </c>
      <c r="E759" t="str">
        <f>"57218"</f>
        <v>57218</v>
      </c>
      <c r="F759" t="str">
        <f>"INT-2021 LAKE PLACID DAM, TWDB"</f>
        <v>INT-2021 LAKE PLACID DAM, TWDB</v>
      </c>
      <c r="I759" s="8">
        <v>19158</v>
      </c>
      <c r="J759" s="8"/>
      <c r="K759" s="8">
        <v>18859</v>
      </c>
      <c r="L759" s="8"/>
      <c r="M759" s="8">
        <f t="shared" si="161"/>
        <v>-299</v>
      </c>
      <c r="P759">
        <f t="shared" si="162"/>
        <v>1</v>
      </c>
      <c r="Q759">
        <f t="shared" si="163"/>
        <v>1</v>
      </c>
      <c r="R759">
        <f t="shared" si="164"/>
        <v>2</v>
      </c>
    </row>
    <row r="760" spans="1:18">
      <c r="A760" t="s">
        <v>26</v>
      </c>
      <c r="B760" t="str">
        <f t="shared" si="160"/>
        <v>SHOW</v>
      </c>
      <c r="C760" t="s">
        <v>75</v>
      </c>
      <c r="D760" t="str">
        <f>"""Mission ERP"",""GBRA"",""15"",""1"",""57219"""</f>
        <v>"Mission ERP","GBRA","15","1","57219"</v>
      </c>
      <c r="E760" t="str">
        <f>"57219"</f>
        <v>57219</v>
      </c>
      <c r="F760" t="str">
        <f>"INT-2021 STEIN FALLS CONSTRUCTION"</f>
        <v>INT-2021 STEIN FALLS CONSTRUCTION</v>
      </c>
      <c r="I760" s="8">
        <v>854483</v>
      </c>
      <c r="J760" s="8"/>
      <c r="K760" s="8">
        <v>836217</v>
      </c>
      <c r="L760" s="8"/>
      <c r="M760" s="8">
        <f t="shared" si="161"/>
        <v>-18266</v>
      </c>
      <c r="P760">
        <f t="shared" si="162"/>
        <v>1</v>
      </c>
      <c r="Q760">
        <f t="shared" si="163"/>
        <v>1</v>
      </c>
      <c r="R760">
        <f t="shared" si="164"/>
        <v>2</v>
      </c>
    </row>
    <row r="761" spans="1:18">
      <c r="A761" t="s">
        <v>26</v>
      </c>
      <c r="B761" t="str">
        <f t="shared" si="160"/>
        <v>SHOW</v>
      </c>
      <c r="C761" t="s">
        <v>75</v>
      </c>
      <c r="D761" t="str">
        <f>"""Mission ERP"",""GBRA"",""15"",""1"",""57220"""</f>
        <v>"Mission ERP","GBRA","15","1","57220"</v>
      </c>
      <c r="E761" t="str">
        <f>"57220"</f>
        <v>57220</v>
      </c>
      <c r="F761" t="str">
        <f>"INT-2021 DIETZ CONSTRUCTION"</f>
        <v>INT-2021 DIETZ CONSTRUCTION</v>
      </c>
      <c r="I761" s="8">
        <v>260133</v>
      </c>
      <c r="J761" s="8"/>
      <c r="K761" s="8">
        <v>254517</v>
      </c>
      <c r="L761" s="8"/>
      <c r="M761" s="8">
        <f t="shared" si="161"/>
        <v>-5616</v>
      </c>
      <c r="P761">
        <f t="shared" si="162"/>
        <v>1</v>
      </c>
      <c r="Q761">
        <f t="shared" si="163"/>
        <v>1</v>
      </c>
      <c r="R761">
        <f t="shared" si="164"/>
        <v>2</v>
      </c>
    </row>
    <row r="762" spans="1:18">
      <c r="A762" t="s">
        <v>26</v>
      </c>
      <c r="B762" t="str">
        <f t="shared" si="160"/>
        <v>SHOW</v>
      </c>
      <c r="C762" t="s">
        <v>75</v>
      </c>
      <c r="D762" t="str">
        <f>"""Mission ERP"",""GBRA"",""15"",""1"",""57221"""</f>
        <v>"Mission ERP","GBRA","15","1","57221"</v>
      </c>
      <c r="E762" t="str">
        <f>"57221"</f>
        <v>57221</v>
      </c>
      <c r="F762" t="str">
        <f>"INT-2022 LAKE PLACID DAM, TWDB"</f>
        <v>INT-2022 LAKE PLACID DAM, TWDB</v>
      </c>
      <c r="I762" s="8">
        <v>379966</v>
      </c>
      <c r="J762" s="8"/>
      <c r="K762" s="8">
        <v>374266</v>
      </c>
      <c r="L762" s="8"/>
      <c r="M762" s="8">
        <f t="shared" si="161"/>
        <v>-5700</v>
      </c>
      <c r="P762">
        <f t="shared" si="162"/>
        <v>1</v>
      </c>
      <c r="Q762">
        <f t="shared" si="163"/>
        <v>1</v>
      </c>
      <c r="R762">
        <f t="shared" si="164"/>
        <v>2</v>
      </c>
    </row>
    <row r="763" spans="1:18">
      <c r="A763" t="s">
        <v>26</v>
      </c>
      <c r="B763" t="str">
        <f t="shared" si="160"/>
        <v>SHOW</v>
      </c>
      <c r="C763" t="s">
        <v>75</v>
      </c>
      <c r="D763" t="str">
        <f>"""Mission ERP"",""GBRA"",""15"",""1"",""57222"""</f>
        <v>"Mission ERP","GBRA","15","1","57222"</v>
      </c>
      <c r="E763" t="str">
        <f>"57222"</f>
        <v>57222</v>
      </c>
      <c r="F763" t="str">
        <f>"INT-2022 NB OFFICE CONSTRUCTION"</f>
        <v>INT-2022 NB OFFICE CONSTRUCTION</v>
      </c>
      <c r="I763" s="8">
        <v>453748</v>
      </c>
      <c r="J763" s="8"/>
      <c r="K763" s="8">
        <v>443619</v>
      </c>
      <c r="L763" s="8"/>
      <c r="M763" s="8">
        <f t="shared" si="161"/>
        <v>-10129</v>
      </c>
      <c r="P763">
        <f t="shared" si="162"/>
        <v>1</v>
      </c>
      <c r="Q763">
        <f t="shared" si="163"/>
        <v>1</v>
      </c>
      <c r="R763">
        <f t="shared" si="164"/>
        <v>2</v>
      </c>
    </row>
    <row r="764" spans="1:18">
      <c r="A764" t="s">
        <v>26</v>
      </c>
      <c r="B764" t="str">
        <f t="shared" si="160"/>
        <v>SHOW</v>
      </c>
      <c r="C764" t="s">
        <v>75</v>
      </c>
      <c r="D764" t="str">
        <f>"""Mission ERP"",""GBRA"",""15"",""1"",""57223"""</f>
        <v>"Mission ERP","GBRA","15","1","57223"</v>
      </c>
      <c r="E764" t="str">
        <f>"57223"</f>
        <v>57223</v>
      </c>
      <c r="F764" t="str">
        <f>"INT-2022 SUNFIELD WW CONSTRUCTION"</f>
        <v>INT-2022 SUNFIELD WW CONSTRUCTION</v>
      </c>
      <c r="I764" s="8">
        <v>1402196</v>
      </c>
      <c r="J764" s="8"/>
      <c r="K764" s="8">
        <v>1399200</v>
      </c>
      <c r="L764" s="8"/>
      <c r="M764" s="8">
        <f t="shared" si="161"/>
        <v>-2996</v>
      </c>
      <c r="P764">
        <f t="shared" si="162"/>
        <v>1</v>
      </c>
      <c r="Q764">
        <f t="shared" si="163"/>
        <v>1</v>
      </c>
      <c r="R764">
        <f t="shared" si="164"/>
        <v>2</v>
      </c>
    </row>
    <row r="765" spans="1:18">
      <c r="A765" t="s">
        <v>26</v>
      </c>
      <c r="B765" t="str">
        <f t="shared" si="160"/>
        <v>SHOW</v>
      </c>
      <c r="C765" t="s">
        <v>75</v>
      </c>
      <c r="D765" t="str">
        <f>"""Mission ERP"",""GBRA"",""15"",""1"",""57224"""</f>
        <v>"Mission ERP","GBRA","15","1","57224"</v>
      </c>
      <c r="E765" t="str">
        <f>"57224"</f>
        <v>57224</v>
      </c>
      <c r="F765" t="str">
        <f>"INT-2022 SW BARRIER CONSTRUTION"</f>
        <v>INT-2022 SW BARRIER CONSTRUTION</v>
      </c>
      <c r="I765" s="8">
        <v>254567</v>
      </c>
      <c r="J765" s="8"/>
      <c r="K765" s="8">
        <v>250546</v>
      </c>
      <c r="L765" s="8"/>
      <c r="M765" s="8">
        <f t="shared" si="161"/>
        <v>-4021</v>
      </c>
      <c r="P765">
        <f t="shared" si="162"/>
        <v>1</v>
      </c>
      <c r="Q765">
        <f t="shared" si="163"/>
        <v>1</v>
      </c>
      <c r="R765">
        <f t="shared" si="164"/>
        <v>2</v>
      </c>
    </row>
    <row r="766" spans="1:18" hidden="1">
      <c r="A766" t="s">
        <v>26</v>
      </c>
      <c r="B766" t="str">
        <f t="shared" si="160"/>
        <v>HIDE</v>
      </c>
      <c r="C766" t="s">
        <v>75</v>
      </c>
      <c r="D766" t="str">
        <f>"""Mission ERP"",""GBRA"",""15"",""1"",""57225"""</f>
        <v>"Mission ERP","GBRA","15","1","57225"</v>
      </c>
      <c r="E766" t="str">
        <f>"57225"</f>
        <v>57225</v>
      </c>
      <c r="F766" t="str">
        <f>"INT-2015 IWPP"</f>
        <v>INT-2015 IWPP</v>
      </c>
      <c r="I766" s="8">
        <v>0</v>
      </c>
      <c r="J766" s="8"/>
      <c r="K766" s="8">
        <v>0</v>
      </c>
      <c r="L766" s="8"/>
      <c r="M766" s="8">
        <f t="shared" si="161"/>
        <v>0</v>
      </c>
      <c r="P766">
        <f t="shared" si="162"/>
        <v>0</v>
      </c>
      <c r="Q766">
        <f t="shared" si="163"/>
        <v>0</v>
      </c>
      <c r="R766">
        <f t="shared" si="164"/>
        <v>0</v>
      </c>
    </row>
    <row r="767" spans="1:18">
      <c r="A767" t="s">
        <v>26</v>
      </c>
      <c r="B767" t="str">
        <f t="shared" si="160"/>
        <v>SHOW</v>
      </c>
      <c r="C767" t="s">
        <v>75</v>
      </c>
      <c r="D767" t="str">
        <f>"""Mission ERP"",""GBRA"",""15"",""1"",""57226"""</f>
        <v>"Mission ERP","GBRA","15","1","57226"</v>
      </c>
      <c r="E767" t="str">
        <f>"57226"</f>
        <v>57226</v>
      </c>
      <c r="F767" t="str">
        <f>"INT-2023 LAKE PLACID DAM, TWDB"</f>
        <v>INT-2023 LAKE PLACID DAM, TWDB</v>
      </c>
      <c r="I767" s="8">
        <v>220641</v>
      </c>
      <c r="J767" s="8"/>
      <c r="K767" s="8">
        <v>216878</v>
      </c>
      <c r="L767" s="8"/>
      <c r="M767" s="8">
        <f t="shared" si="161"/>
        <v>-3763</v>
      </c>
      <c r="P767">
        <f t="shared" si="162"/>
        <v>1</v>
      </c>
      <c r="Q767">
        <f t="shared" si="163"/>
        <v>1</v>
      </c>
      <c r="R767">
        <f t="shared" si="164"/>
        <v>2</v>
      </c>
    </row>
    <row r="768" spans="1:18" hidden="1">
      <c r="A768" t="s">
        <v>26</v>
      </c>
      <c r="B768" t="str">
        <f t="shared" si="160"/>
        <v>HIDE</v>
      </c>
      <c r="C768" t="s">
        <v>75</v>
      </c>
      <c r="D768" t="str">
        <f>"""Mission ERP"",""GBRA"",""15"",""1"",""57227"""</f>
        <v>"Mission ERP","GBRA","15","1","57227"</v>
      </c>
      <c r="E768" t="str">
        <f>"57227"</f>
        <v>57227</v>
      </c>
      <c r="F768" t="str">
        <f>"INT-2024 STEIN FALLS CONSTRUCTION"</f>
        <v>INT-2024 STEIN FALLS CONSTRUCTION</v>
      </c>
      <c r="I768" s="8">
        <v>0</v>
      </c>
      <c r="J768" s="8"/>
      <c r="K768" s="8">
        <v>0</v>
      </c>
      <c r="L768" s="8"/>
      <c r="M768" s="8">
        <f t="shared" si="161"/>
        <v>0</v>
      </c>
      <c r="P768">
        <f t="shared" si="162"/>
        <v>0</v>
      </c>
      <c r="Q768">
        <f t="shared" si="163"/>
        <v>0</v>
      </c>
      <c r="R768">
        <f t="shared" si="164"/>
        <v>0</v>
      </c>
    </row>
    <row r="769" spans="1:18" hidden="1">
      <c r="A769" t="s">
        <v>26</v>
      </c>
      <c r="B769" t="str">
        <f t="shared" si="160"/>
        <v>HIDE</v>
      </c>
      <c r="C769" t="s">
        <v>75</v>
      </c>
      <c r="D769" t="str">
        <f>"""Mission ERP"",""GBRA"",""15"",""1"",""57250"""</f>
        <v>"Mission ERP","GBRA","15","1","57250"</v>
      </c>
      <c r="E769" t="str">
        <f>"57250"</f>
        <v>57250</v>
      </c>
      <c r="F769" t="str">
        <f>"INT-BUDGET LOAN EXPENSE"</f>
        <v>INT-BUDGET LOAN EXPENSE</v>
      </c>
      <c r="I769" s="8">
        <v>0</v>
      </c>
      <c r="J769" s="8"/>
      <c r="K769" s="8">
        <v>0</v>
      </c>
      <c r="L769" s="8"/>
      <c r="M769" s="8">
        <f t="shared" si="161"/>
        <v>0</v>
      </c>
      <c r="P769">
        <f t="shared" si="162"/>
        <v>0</v>
      </c>
      <c r="Q769">
        <f t="shared" si="163"/>
        <v>0</v>
      </c>
      <c r="R769">
        <f t="shared" si="164"/>
        <v>0</v>
      </c>
    </row>
    <row r="770" spans="1:18" hidden="1">
      <c r="B770" t="s">
        <v>16</v>
      </c>
      <c r="I770" s="9"/>
      <c r="J770" s="8"/>
      <c r="K770" s="9"/>
      <c r="L770" s="8"/>
      <c r="M770" s="9"/>
    </row>
    <row r="771" spans="1:18">
      <c r="B771" t="str">
        <f>IF(R771=0,"HIDE","SHOW")</f>
        <v>SHOW</v>
      </c>
      <c r="F771" s="3" t="str">
        <f>CONCATENATE("Total ",F738)</f>
        <v>Total Interest Expense</v>
      </c>
      <c r="I771" s="10">
        <f>SUM(I739:I770)</f>
        <v>10705512</v>
      </c>
      <c r="J771" s="11"/>
      <c r="K771" s="10">
        <f>SUM(K739:K770)</f>
        <v>14891206</v>
      </c>
      <c r="L771" s="11"/>
      <c r="M771" s="10">
        <f>K771-I771</f>
        <v>4185694</v>
      </c>
      <c r="P771">
        <f>IF(I771=0,0,1)</f>
        <v>1</v>
      </c>
      <c r="Q771">
        <f>IF(K771=0,0,1)</f>
        <v>1</v>
      </c>
      <c r="R771">
        <f>P771+Q771</f>
        <v>2</v>
      </c>
    </row>
    <row r="772" spans="1:18">
      <c r="B772" t="str">
        <f>B771</f>
        <v>SHOW</v>
      </c>
      <c r="I772" s="8"/>
      <c r="J772" s="8"/>
      <c r="K772" s="8"/>
      <c r="L772" s="8"/>
      <c r="M772" s="8"/>
    </row>
    <row r="773" spans="1:18">
      <c r="B773" t="str">
        <f>B546</f>
        <v>SHOW</v>
      </c>
      <c r="I773" s="8"/>
      <c r="J773" s="8"/>
      <c r="K773" s="8"/>
      <c r="L773" s="8"/>
      <c r="M773" s="8"/>
    </row>
    <row r="774" spans="1:18">
      <c r="B774" t="str">
        <f>B777</f>
        <v>SHOW</v>
      </c>
      <c r="C774">
        <v>61500</v>
      </c>
      <c r="F774" s="3" t="str">
        <f>"Transfers"</f>
        <v>Transfers</v>
      </c>
      <c r="I774" s="8"/>
      <c r="J774" s="8"/>
      <c r="K774" s="8"/>
      <c r="L774" s="8"/>
      <c r="M774" s="8"/>
    </row>
    <row r="775" spans="1:18">
      <c r="B775" t="str">
        <f>IF(R775=0,"HIDE","SHOW")</f>
        <v>SHOW</v>
      </c>
      <c r="C775" t="s">
        <v>76</v>
      </c>
      <c r="D775" t="str">
        <f>"""Mission ERP"",""GBRA"",""15"",""1"",""61550"""</f>
        <v>"Mission ERP","GBRA","15","1","61550"</v>
      </c>
      <c r="E775" t="str">
        <f>"61550"</f>
        <v>61550</v>
      </c>
      <c r="F775" t="str">
        <f>"TRANSFERS-RESTRICTED/BOND COVENANT FUND"</f>
        <v>TRANSFERS-RESTRICTED/BOND COVENANT FUND</v>
      </c>
      <c r="I775" s="8">
        <v>1868498</v>
      </c>
      <c r="J775" s="8"/>
      <c r="K775" s="8">
        <v>2859424</v>
      </c>
      <c r="L775" s="8"/>
      <c r="M775" s="8">
        <f>K775-I775</f>
        <v>990926</v>
      </c>
      <c r="P775">
        <f>IF(I775=0,0,1)</f>
        <v>1</v>
      </c>
      <c r="Q775">
        <f>IF(K775=0,0,1)</f>
        <v>1</v>
      </c>
      <c r="R775">
        <f>P775+Q775</f>
        <v>2</v>
      </c>
    </row>
    <row r="776" spans="1:18" hidden="1">
      <c r="B776" t="s">
        <v>16</v>
      </c>
      <c r="I776" s="9"/>
      <c r="J776" s="8"/>
      <c r="K776" s="9"/>
      <c r="L776" s="8"/>
      <c r="M776" s="16"/>
    </row>
    <row r="777" spans="1:18">
      <c r="B777" t="str">
        <f>IF(R777=0,"HIDE","SHOW")</f>
        <v>SHOW</v>
      </c>
      <c r="F777" s="3" t="str">
        <f>CONCATENATE("Total ",F774)</f>
        <v>Total Transfers</v>
      </c>
      <c r="I777" s="10">
        <f>SUM(I775:I776)</f>
        <v>1868498</v>
      </c>
      <c r="J777" s="11"/>
      <c r="K777" s="10">
        <f>SUM(K775:K776)</f>
        <v>2859424</v>
      </c>
      <c r="L777" s="11"/>
      <c r="M777" s="10">
        <f>K777-I777</f>
        <v>990926</v>
      </c>
      <c r="P777">
        <f>IF(I777=0,0,1)</f>
        <v>1</v>
      </c>
      <c r="Q777">
        <f>IF(K777=0,0,1)</f>
        <v>1</v>
      </c>
      <c r="R777">
        <f>P777+Q777</f>
        <v>2</v>
      </c>
    </row>
    <row r="778" spans="1:18">
      <c r="B778" t="str">
        <f>B777</f>
        <v>SHOW</v>
      </c>
      <c r="I778" s="8"/>
      <c r="J778" s="8"/>
      <c r="K778" s="8"/>
      <c r="L778" s="8"/>
      <c r="M778" s="8"/>
    </row>
    <row r="779" spans="1:18">
      <c r="B779" t="str">
        <f>IF(R779=0,"HIDE","SHOW")</f>
        <v>SHOW</v>
      </c>
      <c r="F779" s="3" t="s">
        <v>77</v>
      </c>
      <c r="I779" s="15">
        <f>I736+I771+I777</f>
        <v>28192698</v>
      </c>
      <c r="J779" s="11"/>
      <c r="K779" s="15">
        <f>K736+K771+K777</f>
        <v>33908470</v>
      </c>
      <c r="L779" s="11"/>
      <c r="M779" s="15">
        <f>K779-I779</f>
        <v>5715772</v>
      </c>
      <c r="P779">
        <f>IF(I779=0,0,1)</f>
        <v>1</v>
      </c>
      <c r="Q779">
        <f>IF(K779=0,0,1)</f>
        <v>1</v>
      </c>
      <c r="R779">
        <f>P779+Q779</f>
        <v>2</v>
      </c>
    </row>
    <row r="780" spans="1:18">
      <c r="B780" t="str">
        <f>B546</f>
        <v>SHOW</v>
      </c>
      <c r="I780" s="8"/>
      <c r="J780" s="8"/>
      <c r="K780" s="8"/>
      <c r="L780" s="8"/>
      <c r="M780" s="8"/>
    </row>
    <row r="781" spans="1:18" ht="15.75" thickBot="1">
      <c r="B781" t="str">
        <f>B782</f>
        <v>SHOW</v>
      </c>
      <c r="F781" s="3" t="s">
        <v>78</v>
      </c>
      <c r="I781" s="14">
        <f>I662-I779</f>
        <v>-5685773</v>
      </c>
      <c r="J781" s="11"/>
      <c r="K781" s="14">
        <f>K662-K779</f>
        <v>-6331146</v>
      </c>
      <c r="L781" s="11"/>
      <c r="M781" s="14">
        <f>K781-I781</f>
        <v>-645373</v>
      </c>
      <c r="P781">
        <f>IF(I781=0,0,1)</f>
        <v>1</v>
      </c>
      <c r="Q781">
        <f>IF(K781=0,0,1)</f>
        <v>1</v>
      </c>
      <c r="R781">
        <f>P781+Q781</f>
        <v>2</v>
      </c>
    </row>
    <row r="782" spans="1:18" ht="15.75" thickTop="1">
      <c r="B782" t="str">
        <f>B546</f>
        <v>SHOW</v>
      </c>
      <c r="I782" s="8"/>
      <c r="J782" s="8"/>
      <c r="K782" s="8"/>
      <c r="L782" s="8"/>
      <c r="M782" s="8"/>
    </row>
    <row r="783" spans="1:18" ht="15.75" thickBot="1">
      <c r="B783" t="s">
        <v>17</v>
      </c>
      <c r="F783" s="3" t="s">
        <v>79</v>
      </c>
      <c r="I783" s="14">
        <f>I542+I781</f>
        <v>212542</v>
      </c>
      <c r="J783" s="11"/>
      <c r="K783" s="14">
        <f>K542+K781</f>
        <v>1071088</v>
      </c>
      <c r="L783" s="11"/>
      <c r="M783" s="14">
        <f>K783-I783</f>
        <v>858546</v>
      </c>
      <c r="P783">
        <f>IF(I783=0,0,1)</f>
        <v>1</v>
      </c>
      <c r="Q783">
        <f>IF(K783=0,0,1)</f>
        <v>1</v>
      </c>
      <c r="R783">
        <f>P783+Q783</f>
        <v>2</v>
      </c>
    </row>
    <row r="784" spans="1:18" ht="15.75" thickTop="1">
      <c r="I784" s="8"/>
      <c r="J784" s="8"/>
      <c r="K784" s="8"/>
      <c r="L784" s="8"/>
      <c r="M784" s="8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4308-0D02-41C5-8933-CBE2B6AA3632}">
  <dimension ref="A1:R230"/>
  <sheetViews>
    <sheetView workbookViewId="0"/>
  </sheetViews>
  <sheetFormatPr defaultRowHeight="15"/>
  <sheetData>
    <row r="1" spans="1:18">
      <c r="A1" s="19" t="s">
        <v>80</v>
      </c>
      <c r="B1" s="19" t="s">
        <v>15</v>
      </c>
      <c r="C1" s="19" t="s">
        <v>16</v>
      </c>
      <c r="D1" s="19" t="s">
        <v>16</v>
      </c>
      <c r="E1" s="19" t="s">
        <v>81</v>
      </c>
      <c r="F1" s="19" t="s">
        <v>17</v>
      </c>
      <c r="I1" s="19" t="s">
        <v>18</v>
      </c>
      <c r="K1" s="19" t="s">
        <v>18</v>
      </c>
      <c r="M1" s="19" t="s">
        <v>18</v>
      </c>
      <c r="P1" s="19" t="s">
        <v>16</v>
      </c>
      <c r="Q1" s="19" t="s">
        <v>16</v>
      </c>
      <c r="R1" s="19" t="s">
        <v>16</v>
      </c>
    </row>
    <row r="2" spans="1:18">
      <c r="B2" s="19" t="s">
        <v>82</v>
      </c>
      <c r="P2" s="19" t="s">
        <v>83</v>
      </c>
    </row>
    <row r="3" spans="1:18">
      <c r="F3" s="19" t="s">
        <v>19</v>
      </c>
    </row>
    <row r="4" spans="1:18">
      <c r="C4" s="19" t="s">
        <v>84</v>
      </c>
      <c r="F4" s="19" t="s">
        <v>20</v>
      </c>
      <c r="P4" s="19" t="s">
        <v>85</v>
      </c>
      <c r="Q4" s="19" t="s">
        <v>86</v>
      </c>
    </row>
    <row r="5" spans="1:18">
      <c r="C5" s="19" t="s">
        <v>87</v>
      </c>
      <c r="F5" s="19" t="s">
        <v>88</v>
      </c>
      <c r="P5" s="19" t="s">
        <v>89</v>
      </c>
      <c r="Q5" s="19" t="s">
        <v>90</v>
      </c>
    </row>
    <row r="7" spans="1:18">
      <c r="F7" s="19" t="s">
        <v>91</v>
      </c>
    </row>
    <row r="8" spans="1:18">
      <c r="F8" s="19" t="s">
        <v>92</v>
      </c>
    </row>
    <row r="10" spans="1:18">
      <c r="I10" s="19" t="s">
        <v>93</v>
      </c>
      <c r="K10" s="19" t="s">
        <v>94</v>
      </c>
      <c r="M10" s="19" t="s">
        <v>95</v>
      </c>
    </row>
    <row r="11" spans="1:18">
      <c r="I11" s="19" t="s">
        <v>21</v>
      </c>
      <c r="K11" s="19" t="s">
        <v>21</v>
      </c>
      <c r="M11" s="19" t="s">
        <v>22</v>
      </c>
    </row>
    <row r="12" spans="1:18">
      <c r="F12" s="19" t="s">
        <v>23</v>
      </c>
    </row>
    <row r="14" spans="1:18">
      <c r="F14" s="19" t="s">
        <v>24</v>
      </c>
    </row>
    <row r="15" spans="1:18">
      <c r="B15" s="19" t="s">
        <v>96</v>
      </c>
      <c r="C15" s="19" t="s">
        <v>97</v>
      </c>
      <c r="F15" s="19" t="s">
        <v>98</v>
      </c>
    </row>
    <row r="16" spans="1:18">
      <c r="B16" s="19" t="s">
        <v>99</v>
      </c>
      <c r="C16" s="19" t="s">
        <v>25</v>
      </c>
      <c r="D16" s="19" t="s">
        <v>100</v>
      </c>
      <c r="E16" s="19" t="s">
        <v>101</v>
      </c>
      <c r="F16" s="19" t="s">
        <v>102</v>
      </c>
      <c r="I16" s="19" t="s">
        <v>103</v>
      </c>
      <c r="K16" s="19" t="s">
        <v>104</v>
      </c>
      <c r="M16" s="19" t="s">
        <v>105</v>
      </c>
      <c r="P16" s="19" t="s">
        <v>106</v>
      </c>
      <c r="Q16" s="19" t="s">
        <v>107</v>
      </c>
      <c r="R16" s="19" t="s">
        <v>108</v>
      </c>
    </row>
    <row r="17" spans="2:18">
      <c r="B17" s="19" t="s">
        <v>16</v>
      </c>
    </row>
    <row r="18" spans="2:18">
      <c r="B18" s="19" t="s">
        <v>109</v>
      </c>
      <c r="F18" s="19" t="s">
        <v>110</v>
      </c>
      <c r="I18" s="19" t="s">
        <v>111</v>
      </c>
      <c r="K18" s="19" t="s">
        <v>112</v>
      </c>
      <c r="M18" s="19" t="s">
        <v>113</v>
      </c>
      <c r="P18" s="19" t="s">
        <v>114</v>
      </c>
      <c r="Q18" s="19" t="s">
        <v>115</v>
      </c>
      <c r="R18" s="19" t="s">
        <v>116</v>
      </c>
    </row>
    <row r="19" spans="2:18">
      <c r="B19" s="19" t="s">
        <v>96</v>
      </c>
    </row>
    <row r="20" spans="2:18">
      <c r="B20" s="19" t="s">
        <v>117</v>
      </c>
      <c r="C20" s="19" t="s">
        <v>118</v>
      </c>
      <c r="F20" s="19" t="s">
        <v>119</v>
      </c>
    </row>
    <row r="21" spans="2:18">
      <c r="B21" s="19" t="s">
        <v>120</v>
      </c>
      <c r="C21" s="19" t="s">
        <v>27</v>
      </c>
      <c r="D21" s="19" t="s">
        <v>121</v>
      </c>
      <c r="E21" s="19" t="s">
        <v>122</v>
      </c>
      <c r="F21" s="19" t="s">
        <v>123</v>
      </c>
      <c r="I21" s="19" t="s">
        <v>124</v>
      </c>
      <c r="K21" s="19" t="s">
        <v>125</v>
      </c>
      <c r="M21" s="19" t="s">
        <v>126</v>
      </c>
      <c r="P21" s="19" t="s">
        <v>127</v>
      </c>
      <c r="Q21" s="19" t="s">
        <v>128</v>
      </c>
      <c r="R21" s="19" t="s">
        <v>129</v>
      </c>
    </row>
    <row r="22" spans="2:18">
      <c r="B22" s="19" t="s">
        <v>16</v>
      </c>
    </row>
    <row r="23" spans="2:18">
      <c r="B23" s="19" t="s">
        <v>130</v>
      </c>
      <c r="F23" s="19" t="s">
        <v>131</v>
      </c>
      <c r="I23" s="19" t="s">
        <v>132</v>
      </c>
      <c r="K23" s="19" t="s">
        <v>133</v>
      </c>
      <c r="M23" s="19" t="s">
        <v>134</v>
      </c>
      <c r="P23" s="19" t="s">
        <v>135</v>
      </c>
      <c r="Q23" s="19" t="s">
        <v>136</v>
      </c>
      <c r="R23" s="19" t="s">
        <v>137</v>
      </c>
    </row>
    <row r="24" spans="2:18">
      <c r="B24" s="19" t="s">
        <v>117</v>
      </c>
    </row>
    <row r="25" spans="2:18">
      <c r="B25" s="19" t="s">
        <v>138</v>
      </c>
      <c r="C25" s="19" t="s">
        <v>139</v>
      </c>
      <c r="F25" s="19" t="s">
        <v>140</v>
      </c>
    </row>
    <row r="26" spans="2:18">
      <c r="B26" s="19" t="s">
        <v>141</v>
      </c>
      <c r="C26" s="19" t="s">
        <v>28</v>
      </c>
      <c r="D26" s="19" t="s">
        <v>142</v>
      </c>
      <c r="E26" s="19" t="s">
        <v>143</v>
      </c>
      <c r="F26" s="19" t="s">
        <v>144</v>
      </c>
      <c r="I26" s="19" t="s">
        <v>145</v>
      </c>
      <c r="K26" s="19" t="s">
        <v>146</v>
      </c>
      <c r="M26" s="19" t="s">
        <v>147</v>
      </c>
      <c r="P26" s="19" t="s">
        <v>148</v>
      </c>
      <c r="Q26" s="19" t="s">
        <v>149</v>
      </c>
      <c r="R26" s="19" t="s">
        <v>150</v>
      </c>
    </row>
    <row r="27" spans="2:18">
      <c r="B27" s="19" t="s">
        <v>16</v>
      </c>
    </row>
    <row r="28" spans="2:18">
      <c r="B28" s="19" t="s">
        <v>151</v>
      </c>
      <c r="F28" s="19" t="s">
        <v>152</v>
      </c>
      <c r="I28" s="19" t="s">
        <v>153</v>
      </c>
      <c r="K28" s="19" t="s">
        <v>154</v>
      </c>
      <c r="M28" s="19" t="s">
        <v>155</v>
      </c>
      <c r="P28" s="19" t="s">
        <v>156</v>
      </c>
      <c r="Q28" s="19" t="s">
        <v>157</v>
      </c>
      <c r="R28" s="19" t="s">
        <v>158</v>
      </c>
    </row>
    <row r="29" spans="2:18">
      <c r="B29" s="19" t="s">
        <v>117</v>
      </c>
    </row>
    <row r="30" spans="2:18">
      <c r="B30" s="19" t="s">
        <v>159</v>
      </c>
      <c r="C30" s="19" t="s">
        <v>160</v>
      </c>
      <c r="F30" s="19" t="s">
        <v>161</v>
      </c>
    </row>
    <row r="31" spans="2:18">
      <c r="B31" s="19" t="s">
        <v>162</v>
      </c>
      <c r="C31" s="19" t="s">
        <v>29</v>
      </c>
      <c r="D31" s="19" t="s">
        <v>163</v>
      </c>
      <c r="E31" s="19" t="s">
        <v>164</v>
      </c>
      <c r="F31" s="19" t="s">
        <v>165</v>
      </c>
      <c r="I31" s="19" t="s">
        <v>166</v>
      </c>
      <c r="K31" s="19" t="s">
        <v>167</v>
      </c>
      <c r="M31" s="19" t="s">
        <v>168</v>
      </c>
      <c r="P31" s="19" t="s">
        <v>169</v>
      </c>
      <c r="Q31" s="19" t="s">
        <v>170</v>
      </c>
      <c r="R31" s="19" t="s">
        <v>171</v>
      </c>
    </row>
    <row r="32" spans="2:18">
      <c r="B32" s="19" t="s">
        <v>16</v>
      </c>
    </row>
    <row r="33" spans="2:18">
      <c r="B33" s="19" t="s">
        <v>172</v>
      </c>
      <c r="F33" s="19" t="s">
        <v>173</v>
      </c>
      <c r="I33" s="19" t="s">
        <v>174</v>
      </c>
      <c r="K33" s="19" t="s">
        <v>175</v>
      </c>
      <c r="M33" s="19" t="s">
        <v>176</v>
      </c>
      <c r="P33" s="19" t="s">
        <v>177</v>
      </c>
      <c r="Q33" s="19" t="s">
        <v>178</v>
      </c>
      <c r="R33" s="19" t="s">
        <v>179</v>
      </c>
    </row>
    <row r="34" spans="2:18">
      <c r="B34" s="19" t="s">
        <v>117</v>
      </c>
    </row>
    <row r="35" spans="2:18">
      <c r="B35" s="19" t="s">
        <v>180</v>
      </c>
      <c r="C35" s="19" t="s">
        <v>181</v>
      </c>
      <c r="F35" s="19" t="s">
        <v>182</v>
      </c>
    </row>
    <row r="36" spans="2:18">
      <c r="B36" s="19" t="s">
        <v>183</v>
      </c>
      <c r="C36" s="19" t="s">
        <v>30</v>
      </c>
      <c r="D36" s="19" t="s">
        <v>184</v>
      </c>
      <c r="E36" s="19" t="s">
        <v>185</v>
      </c>
      <c r="F36" s="19" t="s">
        <v>186</v>
      </c>
      <c r="I36" s="19" t="s">
        <v>187</v>
      </c>
      <c r="K36" s="19" t="s">
        <v>188</v>
      </c>
      <c r="M36" s="19" t="s">
        <v>189</v>
      </c>
      <c r="P36" s="19" t="s">
        <v>190</v>
      </c>
      <c r="Q36" s="19" t="s">
        <v>191</v>
      </c>
      <c r="R36" s="19" t="s">
        <v>192</v>
      </c>
    </row>
    <row r="37" spans="2:18">
      <c r="B37" s="19" t="s">
        <v>16</v>
      </c>
    </row>
    <row r="38" spans="2:18">
      <c r="B38" s="19" t="s">
        <v>193</v>
      </c>
      <c r="F38" s="19" t="s">
        <v>194</v>
      </c>
      <c r="I38" s="19" t="s">
        <v>195</v>
      </c>
      <c r="K38" s="19" t="s">
        <v>196</v>
      </c>
      <c r="M38" s="19" t="s">
        <v>197</v>
      </c>
      <c r="P38" s="19" t="s">
        <v>198</v>
      </c>
      <c r="Q38" s="19" t="s">
        <v>199</v>
      </c>
      <c r="R38" s="19" t="s">
        <v>200</v>
      </c>
    </row>
    <row r="39" spans="2:18">
      <c r="B39" s="19" t="s">
        <v>180</v>
      </c>
    </row>
    <row r="40" spans="2:18">
      <c r="B40" s="19" t="s">
        <v>201</v>
      </c>
      <c r="C40" s="19" t="s">
        <v>202</v>
      </c>
      <c r="F40" s="19" t="s">
        <v>203</v>
      </c>
    </row>
    <row r="41" spans="2:18">
      <c r="B41" s="19" t="s">
        <v>204</v>
      </c>
      <c r="C41" s="19" t="s">
        <v>31</v>
      </c>
      <c r="D41" s="19" t="s">
        <v>205</v>
      </c>
      <c r="E41" s="19" t="s">
        <v>206</v>
      </c>
      <c r="F41" s="19" t="s">
        <v>207</v>
      </c>
      <c r="I41" s="19" t="s">
        <v>208</v>
      </c>
      <c r="K41" s="19" t="s">
        <v>209</v>
      </c>
      <c r="M41" s="19" t="s">
        <v>210</v>
      </c>
      <c r="P41" s="19" t="s">
        <v>211</v>
      </c>
      <c r="Q41" s="19" t="s">
        <v>212</v>
      </c>
      <c r="R41" s="19" t="s">
        <v>213</v>
      </c>
    </row>
    <row r="42" spans="2:18">
      <c r="B42" s="19" t="s">
        <v>16</v>
      </c>
    </row>
    <row r="43" spans="2:18">
      <c r="B43" s="19" t="s">
        <v>214</v>
      </c>
      <c r="F43" s="19" t="s">
        <v>215</v>
      </c>
      <c r="I43" s="19" t="s">
        <v>216</v>
      </c>
      <c r="K43" s="19" t="s">
        <v>217</v>
      </c>
      <c r="M43" s="19" t="s">
        <v>218</v>
      </c>
      <c r="P43" s="19" t="s">
        <v>219</v>
      </c>
      <c r="Q43" s="19" t="s">
        <v>220</v>
      </c>
      <c r="R43" s="19" t="s">
        <v>221</v>
      </c>
    </row>
    <row r="44" spans="2:18">
      <c r="B44" s="19" t="s">
        <v>201</v>
      </c>
    </row>
    <row r="45" spans="2:18">
      <c r="B45" s="19" t="s">
        <v>222</v>
      </c>
      <c r="C45" s="19" t="s">
        <v>223</v>
      </c>
      <c r="F45" s="19" t="s">
        <v>224</v>
      </c>
    </row>
    <row r="46" spans="2:18">
      <c r="B46" s="19" t="s">
        <v>225</v>
      </c>
      <c r="C46" s="19" t="s">
        <v>32</v>
      </c>
      <c r="D46" s="19" t="s">
        <v>226</v>
      </c>
      <c r="E46" s="19" t="s">
        <v>227</v>
      </c>
      <c r="F46" s="19" t="s">
        <v>228</v>
      </c>
      <c r="I46" s="19" t="s">
        <v>229</v>
      </c>
      <c r="K46" s="19" t="s">
        <v>230</v>
      </c>
      <c r="M46" s="19" t="s">
        <v>231</v>
      </c>
      <c r="P46" s="19" t="s">
        <v>232</v>
      </c>
      <c r="Q46" s="19" t="s">
        <v>233</v>
      </c>
      <c r="R46" s="19" t="s">
        <v>234</v>
      </c>
    </row>
    <row r="47" spans="2:18">
      <c r="B47" s="19" t="s">
        <v>16</v>
      </c>
    </row>
    <row r="48" spans="2:18">
      <c r="B48" s="19" t="s">
        <v>235</v>
      </c>
      <c r="F48" s="19" t="s">
        <v>236</v>
      </c>
      <c r="I48" s="19" t="s">
        <v>237</v>
      </c>
      <c r="K48" s="19" t="s">
        <v>238</v>
      </c>
      <c r="M48" s="19" t="s">
        <v>239</v>
      </c>
      <c r="P48" s="19" t="s">
        <v>240</v>
      </c>
      <c r="Q48" s="19" t="s">
        <v>241</v>
      </c>
      <c r="R48" s="19" t="s">
        <v>242</v>
      </c>
    </row>
    <row r="49" spans="2:18">
      <c r="B49" s="19" t="s">
        <v>222</v>
      </c>
    </row>
    <row r="50" spans="2:18">
      <c r="B50" s="19" t="s">
        <v>243</v>
      </c>
      <c r="C50" s="19" t="s">
        <v>244</v>
      </c>
      <c r="F50" s="19" t="s">
        <v>245</v>
      </c>
    </row>
    <row r="51" spans="2:18">
      <c r="B51" s="19" t="s">
        <v>246</v>
      </c>
      <c r="C51" s="19" t="s">
        <v>33</v>
      </c>
      <c r="D51" s="19" t="s">
        <v>247</v>
      </c>
      <c r="E51" s="19" t="s">
        <v>248</v>
      </c>
      <c r="F51" s="19" t="s">
        <v>249</v>
      </c>
      <c r="I51" s="19" t="s">
        <v>250</v>
      </c>
      <c r="K51" s="19" t="s">
        <v>251</v>
      </c>
      <c r="M51" s="19" t="s">
        <v>252</v>
      </c>
      <c r="P51" s="19" t="s">
        <v>253</v>
      </c>
      <c r="Q51" s="19" t="s">
        <v>254</v>
      </c>
      <c r="R51" s="19" t="s">
        <v>255</v>
      </c>
    </row>
    <row r="52" spans="2:18">
      <c r="B52" s="19" t="s">
        <v>16</v>
      </c>
    </row>
    <row r="53" spans="2:18">
      <c r="B53" s="19" t="s">
        <v>256</v>
      </c>
      <c r="F53" s="19" t="s">
        <v>257</v>
      </c>
      <c r="I53" s="19" t="s">
        <v>258</v>
      </c>
      <c r="K53" s="19" t="s">
        <v>259</v>
      </c>
      <c r="M53" s="19" t="s">
        <v>260</v>
      </c>
      <c r="P53" s="19" t="s">
        <v>261</v>
      </c>
      <c r="Q53" s="19" t="s">
        <v>262</v>
      </c>
      <c r="R53" s="19" t="s">
        <v>263</v>
      </c>
    </row>
    <row r="54" spans="2:18">
      <c r="B54" s="19" t="s">
        <v>243</v>
      </c>
    </row>
    <row r="55" spans="2:18">
      <c r="B55" s="19" t="s">
        <v>264</v>
      </c>
      <c r="C55" s="19" t="s">
        <v>265</v>
      </c>
      <c r="F55" s="19" t="s">
        <v>266</v>
      </c>
    </row>
    <row r="56" spans="2:18">
      <c r="B56" s="19" t="s">
        <v>267</v>
      </c>
      <c r="C56" s="19" t="s">
        <v>34</v>
      </c>
      <c r="D56" s="19" t="s">
        <v>268</v>
      </c>
      <c r="E56" s="19" t="s">
        <v>269</v>
      </c>
      <c r="F56" s="19" t="s">
        <v>270</v>
      </c>
      <c r="I56" s="19" t="s">
        <v>271</v>
      </c>
      <c r="K56" s="19" t="s">
        <v>272</v>
      </c>
      <c r="M56" s="19" t="s">
        <v>273</v>
      </c>
      <c r="P56" s="19" t="s">
        <v>274</v>
      </c>
      <c r="Q56" s="19" t="s">
        <v>275</v>
      </c>
      <c r="R56" s="19" t="s">
        <v>276</v>
      </c>
    </row>
    <row r="57" spans="2:18">
      <c r="B57" s="19" t="s">
        <v>16</v>
      </c>
    </row>
    <row r="58" spans="2:18">
      <c r="B58" s="19" t="s">
        <v>277</v>
      </c>
      <c r="F58" s="19" t="s">
        <v>278</v>
      </c>
      <c r="I58" s="19" t="s">
        <v>279</v>
      </c>
      <c r="K58" s="19" t="s">
        <v>280</v>
      </c>
      <c r="M58" s="19" t="s">
        <v>281</v>
      </c>
      <c r="P58" s="19" t="s">
        <v>282</v>
      </c>
      <c r="Q58" s="19" t="s">
        <v>283</v>
      </c>
      <c r="R58" s="19" t="s">
        <v>284</v>
      </c>
    </row>
    <row r="59" spans="2:18">
      <c r="B59" s="19" t="s">
        <v>264</v>
      </c>
    </row>
    <row r="60" spans="2:18">
      <c r="B60" s="19" t="s">
        <v>285</v>
      </c>
      <c r="C60" s="19" t="s">
        <v>286</v>
      </c>
      <c r="F60" s="19" t="s">
        <v>287</v>
      </c>
    </row>
    <row r="61" spans="2:18">
      <c r="B61" s="19" t="s">
        <v>288</v>
      </c>
      <c r="C61" s="19" t="s">
        <v>35</v>
      </c>
      <c r="D61" s="19" t="s">
        <v>289</v>
      </c>
      <c r="E61" s="19" t="s">
        <v>290</v>
      </c>
      <c r="F61" s="19" t="s">
        <v>291</v>
      </c>
      <c r="I61" s="19" t="s">
        <v>292</v>
      </c>
      <c r="K61" s="19" t="s">
        <v>293</v>
      </c>
      <c r="M61" s="19" t="s">
        <v>294</v>
      </c>
      <c r="P61" s="19" t="s">
        <v>295</v>
      </c>
      <c r="Q61" s="19" t="s">
        <v>296</v>
      </c>
      <c r="R61" s="19" t="s">
        <v>297</v>
      </c>
    </row>
    <row r="62" spans="2:18">
      <c r="B62" s="19" t="s">
        <v>16</v>
      </c>
    </row>
    <row r="63" spans="2:18">
      <c r="B63" s="19" t="s">
        <v>298</v>
      </c>
      <c r="F63" s="19" t="s">
        <v>299</v>
      </c>
      <c r="I63" s="19" t="s">
        <v>300</v>
      </c>
      <c r="K63" s="19" t="s">
        <v>301</v>
      </c>
      <c r="M63" s="19" t="s">
        <v>302</v>
      </c>
      <c r="P63" s="19" t="s">
        <v>303</v>
      </c>
      <c r="Q63" s="19" t="s">
        <v>304</v>
      </c>
      <c r="R63" s="19" t="s">
        <v>305</v>
      </c>
    </row>
    <row r="64" spans="2:18">
      <c r="B64" s="19" t="s">
        <v>285</v>
      </c>
    </row>
    <row r="65" spans="2:18">
      <c r="B65" s="19" t="s">
        <v>306</v>
      </c>
      <c r="C65" s="19" t="s">
        <v>307</v>
      </c>
      <c r="F65" s="19" t="s">
        <v>308</v>
      </c>
    </row>
    <row r="66" spans="2:18">
      <c r="B66" s="19" t="s">
        <v>309</v>
      </c>
      <c r="C66" s="19" t="s">
        <v>36</v>
      </c>
      <c r="D66" s="19" t="s">
        <v>310</v>
      </c>
      <c r="E66" s="19" t="s">
        <v>311</v>
      </c>
      <c r="F66" s="19" t="s">
        <v>312</v>
      </c>
      <c r="I66" s="19" t="s">
        <v>313</v>
      </c>
      <c r="K66" s="19" t="s">
        <v>314</v>
      </c>
      <c r="M66" s="19" t="s">
        <v>315</v>
      </c>
      <c r="P66" s="19" t="s">
        <v>316</v>
      </c>
      <c r="Q66" s="19" t="s">
        <v>317</v>
      </c>
      <c r="R66" s="19" t="s">
        <v>318</v>
      </c>
    </row>
    <row r="67" spans="2:18">
      <c r="B67" s="19" t="s">
        <v>16</v>
      </c>
    </row>
    <row r="68" spans="2:18">
      <c r="B68" s="19" t="s">
        <v>319</v>
      </c>
      <c r="F68" s="19" t="s">
        <v>320</v>
      </c>
      <c r="I68" s="19" t="s">
        <v>321</v>
      </c>
      <c r="K68" s="19" t="s">
        <v>322</v>
      </c>
      <c r="M68" s="19" t="s">
        <v>323</v>
      </c>
      <c r="P68" s="19" t="s">
        <v>324</v>
      </c>
      <c r="Q68" s="19" t="s">
        <v>325</v>
      </c>
      <c r="R68" s="19" t="s">
        <v>326</v>
      </c>
    </row>
    <row r="69" spans="2:18">
      <c r="B69" s="19" t="s">
        <v>306</v>
      </c>
    </row>
    <row r="70" spans="2:18">
      <c r="B70" s="19" t="s">
        <v>327</v>
      </c>
      <c r="C70" s="19" t="s">
        <v>328</v>
      </c>
      <c r="F70" s="19" t="s">
        <v>329</v>
      </c>
    </row>
    <row r="71" spans="2:18">
      <c r="B71" s="19" t="s">
        <v>330</v>
      </c>
      <c r="C71" s="19" t="s">
        <v>37</v>
      </c>
      <c r="D71" s="19" t="s">
        <v>331</v>
      </c>
      <c r="E71" s="19" t="s">
        <v>332</v>
      </c>
      <c r="F71" s="19" t="s">
        <v>333</v>
      </c>
      <c r="I71" s="19" t="s">
        <v>334</v>
      </c>
      <c r="K71" s="19" t="s">
        <v>335</v>
      </c>
      <c r="M71" s="19" t="s">
        <v>336</v>
      </c>
      <c r="P71" s="19" t="s">
        <v>337</v>
      </c>
      <c r="Q71" s="19" t="s">
        <v>338</v>
      </c>
      <c r="R71" s="19" t="s">
        <v>339</v>
      </c>
    </row>
    <row r="72" spans="2:18">
      <c r="B72" s="19" t="s">
        <v>16</v>
      </c>
    </row>
    <row r="73" spans="2:18">
      <c r="B73" s="19" t="s">
        <v>340</v>
      </c>
      <c r="F73" s="19" t="s">
        <v>341</v>
      </c>
      <c r="I73" s="19" t="s">
        <v>342</v>
      </c>
      <c r="K73" s="19" t="s">
        <v>343</v>
      </c>
      <c r="M73" s="19" t="s">
        <v>344</v>
      </c>
      <c r="P73" s="19" t="s">
        <v>345</v>
      </c>
      <c r="Q73" s="19" t="s">
        <v>346</v>
      </c>
      <c r="R73" s="19" t="s">
        <v>347</v>
      </c>
    </row>
    <row r="74" spans="2:18">
      <c r="B74" s="19" t="s">
        <v>327</v>
      </c>
    </row>
    <row r="75" spans="2:18">
      <c r="B75" s="19" t="s">
        <v>348</v>
      </c>
      <c r="C75" s="19" t="s">
        <v>349</v>
      </c>
      <c r="F75" s="19" t="s">
        <v>350</v>
      </c>
    </row>
    <row r="76" spans="2:18">
      <c r="B76" s="19" t="s">
        <v>351</v>
      </c>
      <c r="C76" s="19" t="s">
        <v>38</v>
      </c>
      <c r="D76" s="19" t="s">
        <v>352</v>
      </c>
      <c r="E76" s="19" t="s">
        <v>353</v>
      </c>
      <c r="F76" s="19" t="s">
        <v>354</v>
      </c>
      <c r="I76" s="19" t="s">
        <v>355</v>
      </c>
      <c r="K76" s="19" t="s">
        <v>356</v>
      </c>
      <c r="M76" s="19" t="s">
        <v>357</v>
      </c>
      <c r="P76" s="19" t="s">
        <v>358</v>
      </c>
      <c r="Q76" s="19" t="s">
        <v>359</v>
      </c>
      <c r="R76" s="19" t="s">
        <v>360</v>
      </c>
    </row>
    <row r="77" spans="2:18">
      <c r="B77" s="19" t="s">
        <v>16</v>
      </c>
    </row>
    <row r="78" spans="2:18">
      <c r="B78" s="19" t="s">
        <v>361</v>
      </c>
      <c r="F78" s="19" t="s">
        <v>362</v>
      </c>
      <c r="I78" s="19" t="s">
        <v>363</v>
      </c>
      <c r="K78" s="19" t="s">
        <v>364</v>
      </c>
      <c r="M78" s="19" t="s">
        <v>365</v>
      </c>
      <c r="P78" s="19" t="s">
        <v>366</v>
      </c>
      <c r="Q78" s="19" t="s">
        <v>367</v>
      </c>
      <c r="R78" s="19" t="s">
        <v>368</v>
      </c>
    </row>
    <row r="79" spans="2:18">
      <c r="B79" s="19" t="s">
        <v>348</v>
      </c>
    </row>
    <row r="80" spans="2:18">
      <c r="B80" s="19" t="s">
        <v>369</v>
      </c>
      <c r="C80" s="19" t="s">
        <v>370</v>
      </c>
      <c r="F80" s="19" t="s">
        <v>371</v>
      </c>
    </row>
    <row r="81" spans="2:18">
      <c r="B81" s="19" t="s">
        <v>372</v>
      </c>
      <c r="C81" s="19" t="s">
        <v>39</v>
      </c>
      <c r="D81" s="19" t="s">
        <v>373</v>
      </c>
      <c r="E81" s="19" t="s">
        <v>374</v>
      </c>
      <c r="F81" s="19" t="s">
        <v>375</v>
      </c>
      <c r="I81" s="19" t="s">
        <v>376</v>
      </c>
      <c r="K81" s="19" t="s">
        <v>377</v>
      </c>
      <c r="M81" s="19" t="s">
        <v>378</v>
      </c>
      <c r="P81" s="19" t="s">
        <v>379</v>
      </c>
      <c r="Q81" s="19" t="s">
        <v>380</v>
      </c>
      <c r="R81" s="19" t="s">
        <v>381</v>
      </c>
    </row>
    <row r="82" spans="2:18">
      <c r="B82" s="19" t="s">
        <v>16</v>
      </c>
    </row>
    <row r="83" spans="2:18">
      <c r="B83" s="19" t="s">
        <v>382</v>
      </c>
      <c r="F83" s="19" t="s">
        <v>383</v>
      </c>
      <c r="I83" s="19" t="s">
        <v>384</v>
      </c>
      <c r="K83" s="19" t="s">
        <v>385</v>
      </c>
      <c r="M83" s="19" t="s">
        <v>386</v>
      </c>
      <c r="P83" s="19" t="s">
        <v>387</v>
      </c>
      <c r="Q83" s="19" t="s">
        <v>388</v>
      </c>
      <c r="R83" s="19" t="s">
        <v>389</v>
      </c>
    </row>
    <row r="84" spans="2:18">
      <c r="B84" s="19" t="s">
        <v>369</v>
      </c>
    </row>
    <row r="85" spans="2:18">
      <c r="B85" s="19" t="s">
        <v>390</v>
      </c>
      <c r="C85" s="19" t="s">
        <v>391</v>
      </c>
      <c r="F85" s="19" t="s">
        <v>392</v>
      </c>
    </row>
    <row r="86" spans="2:18">
      <c r="B86" s="19" t="s">
        <v>393</v>
      </c>
      <c r="C86" s="19" t="s">
        <v>40</v>
      </c>
      <c r="D86" s="19" t="s">
        <v>394</v>
      </c>
      <c r="E86" s="19" t="s">
        <v>395</v>
      </c>
      <c r="F86" s="19" t="s">
        <v>396</v>
      </c>
      <c r="I86" s="19" t="s">
        <v>397</v>
      </c>
      <c r="K86" s="19" t="s">
        <v>398</v>
      </c>
      <c r="M86" s="19" t="s">
        <v>399</v>
      </c>
      <c r="P86" s="19" t="s">
        <v>400</v>
      </c>
      <c r="Q86" s="19" t="s">
        <v>401</v>
      </c>
      <c r="R86" s="19" t="s">
        <v>402</v>
      </c>
    </row>
    <row r="87" spans="2:18">
      <c r="B87" s="19" t="s">
        <v>16</v>
      </c>
    </row>
    <row r="88" spans="2:18">
      <c r="B88" s="19" t="s">
        <v>403</v>
      </c>
      <c r="F88" s="19" t="s">
        <v>404</v>
      </c>
      <c r="I88" s="19" t="s">
        <v>405</v>
      </c>
      <c r="K88" s="19" t="s">
        <v>406</v>
      </c>
      <c r="M88" s="19" t="s">
        <v>407</v>
      </c>
      <c r="P88" s="19" t="s">
        <v>408</v>
      </c>
      <c r="Q88" s="19" t="s">
        <v>409</v>
      </c>
      <c r="R88" s="19" t="s">
        <v>410</v>
      </c>
    </row>
    <row r="89" spans="2:18">
      <c r="B89" s="19" t="s">
        <v>390</v>
      </c>
    </row>
    <row r="90" spans="2:18">
      <c r="B90" s="19" t="s">
        <v>411</v>
      </c>
      <c r="C90" s="19" t="s">
        <v>412</v>
      </c>
      <c r="F90" s="19" t="s">
        <v>413</v>
      </c>
    </row>
    <row r="91" spans="2:18">
      <c r="B91" s="19" t="s">
        <v>414</v>
      </c>
      <c r="C91" s="19" t="s">
        <v>41</v>
      </c>
      <c r="D91" s="19" t="s">
        <v>415</v>
      </c>
      <c r="E91" s="19" t="s">
        <v>416</v>
      </c>
      <c r="F91" s="19" t="s">
        <v>417</v>
      </c>
      <c r="I91" s="19" t="s">
        <v>418</v>
      </c>
      <c r="K91" s="19" t="s">
        <v>419</v>
      </c>
      <c r="M91" s="19" t="s">
        <v>420</v>
      </c>
      <c r="P91" s="19" t="s">
        <v>421</v>
      </c>
      <c r="Q91" s="19" t="s">
        <v>422</v>
      </c>
      <c r="R91" s="19" t="s">
        <v>423</v>
      </c>
    </row>
    <row r="92" spans="2:18">
      <c r="B92" s="19" t="s">
        <v>16</v>
      </c>
    </row>
    <row r="93" spans="2:18">
      <c r="B93" s="19" t="s">
        <v>424</v>
      </c>
      <c r="F93" s="19" t="s">
        <v>425</v>
      </c>
      <c r="I93" s="19" t="s">
        <v>426</v>
      </c>
      <c r="K93" s="19" t="s">
        <v>427</v>
      </c>
      <c r="M93" s="19" t="s">
        <v>428</v>
      </c>
      <c r="P93" s="19" t="s">
        <v>429</v>
      </c>
      <c r="Q93" s="19" t="s">
        <v>430</v>
      </c>
      <c r="R93" s="19" t="s">
        <v>431</v>
      </c>
    </row>
    <row r="94" spans="2:18">
      <c r="B94" s="19" t="s">
        <v>411</v>
      </c>
    </row>
    <row r="95" spans="2:18">
      <c r="B95" s="19" t="s">
        <v>432</v>
      </c>
      <c r="C95" s="19" t="s">
        <v>433</v>
      </c>
      <c r="F95" s="19" t="s">
        <v>434</v>
      </c>
    </row>
    <row r="96" spans="2:18">
      <c r="B96" s="19" t="s">
        <v>435</v>
      </c>
      <c r="C96" s="19" t="s">
        <v>42</v>
      </c>
      <c r="D96" s="19" t="s">
        <v>436</v>
      </c>
      <c r="E96" s="19" t="s">
        <v>437</v>
      </c>
      <c r="F96" s="19" t="s">
        <v>438</v>
      </c>
      <c r="I96" s="19" t="s">
        <v>439</v>
      </c>
      <c r="K96" s="19" t="s">
        <v>440</v>
      </c>
      <c r="M96" s="19" t="s">
        <v>441</v>
      </c>
      <c r="P96" s="19" t="s">
        <v>442</v>
      </c>
      <c r="Q96" s="19" t="s">
        <v>443</v>
      </c>
      <c r="R96" s="19" t="s">
        <v>444</v>
      </c>
    </row>
    <row r="97" spans="2:18">
      <c r="B97" s="19" t="s">
        <v>16</v>
      </c>
    </row>
    <row r="98" spans="2:18">
      <c r="B98" s="19" t="s">
        <v>445</v>
      </c>
      <c r="F98" s="19" t="s">
        <v>446</v>
      </c>
      <c r="I98" s="19" t="s">
        <v>447</v>
      </c>
      <c r="K98" s="19" t="s">
        <v>448</v>
      </c>
      <c r="M98" s="19" t="s">
        <v>449</v>
      </c>
      <c r="P98" s="19" t="s">
        <v>450</v>
      </c>
      <c r="Q98" s="19" t="s">
        <v>451</v>
      </c>
      <c r="R98" s="19" t="s">
        <v>452</v>
      </c>
    </row>
    <row r="99" spans="2:18">
      <c r="B99" s="19" t="s">
        <v>432</v>
      </c>
    </row>
    <row r="100" spans="2:18">
      <c r="B100" s="19" t="s">
        <v>453</v>
      </c>
      <c r="C100" s="19" t="s">
        <v>454</v>
      </c>
      <c r="F100" s="19" t="s">
        <v>455</v>
      </c>
    </row>
    <row r="101" spans="2:18">
      <c r="B101" s="19" t="s">
        <v>456</v>
      </c>
      <c r="C101" s="19" t="s">
        <v>43</v>
      </c>
      <c r="D101" s="19" t="s">
        <v>457</v>
      </c>
      <c r="E101" s="19" t="s">
        <v>458</v>
      </c>
      <c r="F101" s="19" t="s">
        <v>459</v>
      </c>
      <c r="I101" s="19" t="s">
        <v>460</v>
      </c>
      <c r="K101" s="19" t="s">
        <v>461</v>
      </c>
      <c r="M101" s="19" t="s">
        <v>462</v>
      </c>
      <c r="P101" s="19" t="s">
        <v>463</v>
      </c>
      <c r="Q101" s="19" t="s">
        <v>464</v>
      </c>
      <c r="R101" s="19" t="s">
        <v>465</v>
      </c>
    </row>
    <row r="102" spans="2:18">
      <c r="B102" s="19" t="s">
        <v>16</v>
      </c>
    </row>
    <row r="103" spans="2:18">
      <c r="B103" s="19" t="s">
        <v>466</v>
      </c>
      <c r="F103" s="19" t="s">
        <v>467</v>
      </c>
      <c r="I103" s="19" t="s">
        <v>468</v>
      </c>
      <c r="K103" s="19" t="s">
        <v>469</v>
      </c>
      <c r="M103" s="19" t="s">
        <v>470</v>
      </c>
      <c r="P103" s="19" t="s">
        <v>471</v>
      </c>
      <c r="Q103" s="19" t="s">
        <v>472</v>
      </c>
      <c r="R103" s="19" t="s">
        <v>473</v>
      </c>
    </row>
    <row r="104" spans="2:18">
      <c r="B104" s="19" t="s">
        <v>453</v>
      </c>
    </row>
    <row r="105" spans="2:18">
      <c r="B105" s="19" t="s">
        <v>474</v>
      </c>
      <c r="C105" s="19" t="s">
        <v>475</v>
      </c>
      <c r="F105" s="19" t="s">
        <v>476</v>
      </c>
    </row>
    <row r="106" spans="2:18">
      <c r="B106" s="19" t="s">
        <v>477</v>
      </c>
      <c r="C106" s="19" t="s">
        <v>44</v>
      </c>
      <c r="D106" s="19" t="s">
        <v>478</v>
      </c>
      <c r="E106" s="19" t="s">
        <v>479</v>
      </c>
      <c r="F106" s="19" t="s">
        <v>480</v>
      </c>
      <c r="I106" s="19" t="s">
        <v>481</v>
      </c>
      <c r="K106" s="19" t="s">
        <v>482</v>
      </c>
      <c r="M106" s="19" t="s">
        <v>483</v>
      </c>
      <c r="P106" s="19" t="s">
        <v>484</v>
      </c>
      <c r="Q106" s="19" t="s">
        <v>485</v>
      </c>
      <c r="R106" s="19" t="s">
        <v>486</v>
      </c>
    </row>
    <row r="107" spans="2:18">
      <c r="B107" s="19" t="s">
        <v>16</v>
      </c>
    </row>
    <row r="108" spans="2:18">
      <c r="B108" s="19" t="s">
        <v>487</v>
      </c>
      <c r="F108" s="19" t="s">
        <v>488</v>
      </c>
      <c r="I108" s="19" t="s">
        <v>489</v>
      </c>
      <c r="K108" s="19" t="s">
        <v>490</v>
      </c>
      <c r="M108" s="19" t="s">
        <v>491</v>
      </c>
      <c r="P108" s="19" t="s">
        <v>492</v>
      </c>
      <c r="Q108" s="19" t="s">
        <v>493</v>
      </c>
      <c r="R108" s="19" t="s">
        <v>494</v>
      </c>
    </row>
    <row r="109" spans="2:18">
      <c r="B109" s="19" t="s">
        <v>474</v>
      </c>
    </row>
    <row r="110" spans="2:18">
      <c r="B110" s="19" t="s">
        <v>495</v>
      </c>
      <c r="F110" s="19" t="s">
        <v>45</v>
      </c>
      <c r="I110" s="19" t="s">
        <v>496</v>
      </c>
      <c r="K110" s="19" t="s">
        <v>497</v>
      </c>
      <c r="M110" s="19" t="s">
        <v>498</v>
      </c>
      <c r="P110" s="19" t="s">
        <v>85</v>
      </c>
      <c r="Q110" s="19" t="s">
        <v>86</v>
      </c>
      <c r="R110" s="19" t="s">
        <v>499</v>
      </c>
    </row>
    <row r="111" spans="2:18">
      <c r="B111" s="19" t="s">
        <v>16</v>
      </c>
    </row>
    <row r="113" spans="2:18">
      <c r="F113" s="19" t="s">
        <v>46</v>
      </c>
    </row>
    <row r="115" spans="2:18">
      <c r="B115" s="19" t="s">
        <v>500</v>
      </c>
      <c r="C115" s="19" t="s">
        <v>501</v>
      </c>
      <c r="F115" s="19" t="s">
        <v>502</v>
      </c>
    </row>
    <row r="116" spans="2:18">
      <c r="B116" s="19" t="s">
        <v>503</v>
      </c>
      <c r="C116" s="19" t="s">
        <v>47</v>
      </c>
      <c r="D116" s="19" t="s">
        <v>504</v>
      </c>
      <c r="E116" s="19" t="s">
        <v>505</v>
      </c>
      <c r="F116" s="19" t="s">
        <v>506</v>
      </c>
      <c r="I116" s="19" t="s">
        <v>507</v>
      </c>
      <c r="K116" s="19" t="s">
        <v>508</v>
      </c>
      <c r="M116" s="19" t="s">
        <v>509</v>
      </c>
      <c r="P116" s="19" t="s">
        <v>510</v>
      </c>
      <c r="Q116" s="19" t="s">
        <v>511</v>
      </c>
      <c r="R116" s="19" t="s">
        <v>512</v>
      </c>
    </row>
    <row r="117" spans="2:18">
      <c r="B117" s="19" t="s">
        <v>16</v>
      </c>
    </row>
    <row r="118" spans="2:18">
      <c r="B118" s="19" t="s">
        <v>513</v>
      </c>
      <c r="F118" s="19" t="s">
        <v>514</v>
      </c>
      <c r="I118" s="19" t="s">
        <v>515</v>
      </c>
      <c r="K118" s="19" t="s">
        <v>516</v>
      </c>
      <c r="M118" s="19" t="s">
        <v>517</v>
      </c>
      <c r="P118" s="19" t="s">
        <v>518</v>
      </c>
      <c r="Q118" s="19" t="s">
        <v>519</v>
      </c>
      <c r="R118" s="19" t="s">
        <v>520</v>
      </c>
    </row>
    <row r="119" spans="2:18">
      <c r="B119" s="19" t="s">
        <v>500</v>
      </c>
    </row>
    <row r="120" spans="2:18">
      <c r="B120" s="19" t="s">
        <v>521</v>
      </c>
      <c r="C120" s="19" t="s">
        <v>522</v>
      </c>
      <c r="F120" s="19" t="s">
        <v>523</v>
      </c>
    </row>
    <row r="121" spans="2:18">
      <c r="B121" s="19" t="s">
        <v>524</v>
      </c>
      <c r="C121" s="19" t="s">
        <v>48</v>
      </c>
      <c r="D121" s="19" t="s">
        <v>525</v>
      </c>
      <c r="E121" s="19" t="s">
        <v>526</v>
      </c>
      <c r="F121" s="19" t="s">
        <v>527</v>
      </c>
      <c r="I121" s="19" t="s">
        <v>528</v>
      </c>
      <c r="K121" s="19" t="s">
        <v>529</v>
      </c>
      <c r="M121" s="19" t="s">
        <v>530</v>
      </c>
      <c r="P121" s="19" t="s">
        <v>531</v>
      </c>
      <c r="Q121" s="19" t="s">
        <v>532</v>
      </c>
      <c r="R121" s="19" t="s">
        <v>533</v>
      </c>
    </row>
    <row r="122" spans="2:18">
      <c r="B122" s="19" t="s">
        <v>16</v>
      </c>
    </row>
    <row r="123" spans="2:18">
      <c r="B123" s="19" t="s">
        <v>534</v>
      </c>
      <c r="F123" s="19" t="s">
        <v>535</v>
      </c>
      <c r="I123" s="19" t="s">
        <v>536</v>
      </c>
      <c r="K123" s="19" t="s">
        <v>537</v>
      </c>
      <c r="M123" s="19" t="s">
        <v>538</v>
      </c>
      <c r="P123" s="19" t="s">
        <v>539</v>
      </c>
      <c r="Q123" s="19" t="s">
        <v>540</v>
      </c>
      <c r="R123" s="19" t="s">
        <v>541</v>
      </c>
    </row>
    <row r="124" spans="2:18">
      <c r="B124" s="19" t="s">
        <v>521</v>
      </c>
    </row>
    <row r="125" spans="2:18">
      <c r="B125" s="19" t="s">
        <v>542</v>
      </c>
      <c r="C125" s="19" t="s">
        <v>543</v>
      </c>
      <c r="F125" s="19" t="s">
        <v>544</v>
      </c>
    </row>
    <row r="126" spans="2:18">
      <c r="B126" s="19" t="s">
        <v>545</v>
      </c>
      <c r="C126" s="19" t="s">
        <v>49</v>
      </c>
      <c r="D126" s="19" t="s">
        <v>546</v>
      </c>
      <c r="E126" s="19" t="s">
        <v>547</v>
      </c>
      <c r="F126" s="19" t="s">
        <v>548</v>
      </c>
      <c r="I126" s="19" t="s">
        <v>549</v>
      </c>
      <c r="K126" s="19" t="s">
        <v>550</v>
      </c>
      <c r="M126" s="19" t="s">
        <v>551</v>
      </c>
      <c r="P126" s="19" t="s">
        <v>552</v>
      </c>
      <c r="Q126" s="19" t="s">
        <v>553</v>
      </c>
      <c r="R126" s="19" t="s">
        <v>554</v>
      </c>
    </row>
    <row r="127" spans="2:18">
      <c r="B127" s="19" t="s">
        <v>16</v>
      </c>
    </row>
    <row r="128" spans="2:18">
      <c r="B128" s="19" t="s">
        <v>555</v>
      </c>
      <c r="F128" s="19" t="s">
        <v>556</v>
      </c>
      <c r="I128" s="19" t="s">
        <v>557</v>
      </c>
      <c r="K128" s="19" t="s">
        <v>558</v>
      </c>
      <c r="M128" s="19" t="s">
        <v>559</v>
      </c>
      <c r="P128" s="19" t="s">
        <v>560</v>
      </c>
      <c r="Q128" s="19" t="s">
        <v>561</v>
      </c>
      <c r="R128" s="19" t="s">
        <v>562</v>
      </c>
    </row>
    <row r="129" spans="2:18">
      <c r="B129" s="19" t="s">
        <v>542</v>
      </c>
    </row>
    <row r="130" spans="2:18">
      <c r="B130" s="19" t="s">
        <v>563</v>
      </c>
      <c r="C130" s="19" t="s">
        <v>564</v>
      </c>
      <c r="F130" s="19" t="s">
        <v>565</v>
      </c>
    </row>
    <row r="131" spans="2:18">
      <c r="B131" s="19" t="s">
        <v>566</v>
      </c>
      <c r="C131" s="19" t="s">
        <v>50</v>
      </c>
      <c r="D131" s="19" t="s">
        <v>567</v>
      </c>
      <c r="E131" s="19" t="s">
        <v>568</v>
      </c>
      <c r="F131" s="19" t="s">
        <v>569</v>
      </c>
      <c r="I131" s="19" t="s">
        <v>570</v>
      </c>
      <c r="K131" s="19" t="s">
        <v>571</v>
      </c>
      <c r="M131" s="19" t="s">
        <v>572</v>
      </c>
      <c r="P131" s="19" t="s">
        <v>573</v>
      </c>
      <c r="Q131" s="19" t="s">
        <v>574</v>
      </c>
      <c r="R131" s="19" t="s">
        <v>575</v>
      </c>
    </row>
    <row r="132" spans="2:18">
      <c r="B132" s="19" t="s">
        <v>16</v>
      </c>
    </row>
    <row r="133" spans="2:18">
      <c r="B133" s="19" t="s">
        <v>576</v>
      </c>
      <c r="F133" s="19" t="s">
        <v>577</v>
      </c>
      <c r="I133" s="19" t="s">
        <v>578</v>
      </c>
      <c r="K133" s="19" t="s">
        <v>579</v>
      </c>
      <c r="M133" s="19" t="s">
        <v>580</v>
      </c>
      <c r="P133" s="19" t="s">
        <v>581</v>
      </c>
      <c r="Q133" s="19" t="s">
        <v>582</v>
      </c>
      <c r="R133" s="19" t="s">
        <v>583</v>
      </c>
    </row>
    <row r="134" spans="2:18">
      <c r="B134" s="19" t="s">
        <v>563</v>
      </c>
    </row>
    <row r="135" spans="2:18">
      <c r="B135" s="19" t="s">
        <v>584</v>
      </c>
      <c r="C135" s="19" t="s">
        <v>585</v>
      </c>
      <c r="F135" s="19" t="s">
        <v>586</v>
      </c>
    </row>
    <row r="136" spans="2:18">
      <c r="B136" s="19" t="s">
        <v>587</v>
      </c>
      <c r="C136" s="19" t="s">
        <v>51</v>
      </c>
      <c r="D136" s="19" t="s">
        <v>588</v>
      </c>
      <c r="E136" s="19" t="s">
        <v>589</v>
      </c>
      <c r="F136" s="19" t="s">
        <v>590</v>
      </c>
      <c r="I136" s="19" t="s">
        <v>591</v>
      </c>
      <c r="K136" s="19" t="s">
        <v>592</v>
      </c>
      <c r="M136" s="19" t="s">
        <v>593</v>
      </c>
      <c r="P136" s="19" t="s">
        <v>594</v>
      </c>
      <c r="Q136" s="19" t="s">
        <v>595</v>
      </c>
      <c r="R136" s="19" t="s">
        <v>596</v>
      </c>
    </row>
    <row r="137" spans="2:18">
      <c r="B137" s="19" t="s">
        <v>16</v>
      </c>
    </row>
    <row r="138" spans="2:18">
      <c r="B138" s="19" t="s">
        <v>597</v>
      </c>
      <c r="F138" s="19" t="s">
        <v>598</v>
      </c>
      <c r="I138" s="19" t="s">
        <v>599</v>
      </c>
      <c r="K138" s="19" t="s">
        <v>600</v>
      </c>
      <c r="M138" s="19" t="s">
        <v>601</v>
      </c>
      <c r="P138" s="19" t="s">
        <v>602</v>
      </c>
      <c r="Q138" s="19" t="s">
        <v>603</v>
      </c>
      <c r="R138" s="19" t="s">
        <v>604</v>
      </c>
    </row>
    <row r="139" spans="2:18">
      <c r="B139" s="19" t="s">
        <v>17</v>
      </c>
    </row>
    <row r="140" spans="2:18">
      <c r="B140" s="19" t="s">
        <v>605</v>
      </c>
      <c r="C140" s="19" t="s">
        <v>606</v>
      </c>
      <c r="F140" s="19" t="s">
        <v>607</v>
      </c>
    </row>
    <row r="141" spans="2:18">
      <c r="B141" s="19" t="s">
        <v>608</v>
      </c>
      <c r="C141" s="19" t="s">
        <v>52</v>
      </c>
      <c r="D141" s="19" t="s">
        <v>609</v>
      </c>
      <c r="E141" s="19" t="s">
        <v>610</v>
      </c>
      <c r="F141" s="19" t="s">
        <v>611</v>
      </c>
      <c r="I141" s="19" t="s">
        <v>612</v>
      </c>
      <c r="K141" s="19" t="s">
        <v>613</v>
      </c>
      <c r="M141" s="19" t="s">
        <v>614</v>
      </c>
      <c r="P141" s="19" t="s">
        <v>615</v>
      </c>
      <c r="Q141" s="19" t="s">
        <v>616</v>
      </c>
      <c r="R141" s="19" t="s">
        <v>617</v>
      </c>
    </row>
    <row r="142" spans="2:18">
      <c r="B142" s="19" t="s">
        <v>16</v>
      </c>
    </row>
    <row r="143" spans="2:18">
      <c r="B143" s="19" t="s">
        <v>618</v>
      </c>
      <c r="F143" s="19" t="s">
        <v>619</v>
      </c>
      <c r="I143" s="19" t="s">
        <v>620</v>
      </c>
      <c r="K143" s="19" t="s">
        <v>621</v>
      </c>
      <c r="M143" s="19" t="s">
        <v>622</v>
      </c>
      <c r="P143" s="19" t="s">
        <v>623</v>
      </c>
      <c r="Q143" s="19" t="s">
        <v>624</v>
      </c>
      <c r="R143" s="19" t="s">
        <v>625</v>
      </c>
    </row>
    <row r="145" spans="2:18">
      <c r="B145" s="19" t="s">
        <v>626</v>
      </c>
      <c r="F145" s="19" t="s">
        <v>53</v>
      </c>
      <c r="I145" s="19" t="s">
        <v>627</v>
      </c>
      <c r="K145" s="19" t="s">
        <v>628</v>
      </c>
      <c r="M145" s="19" t="s">
        <v>629</v>
      </c>
      <c r="P145" s="19" t="s">
        <v>630</v>
      </c>
      <c r="Q145" s="19" t="s">
        <v>631</v>
      </c>
      <c r="R145" s="19" t="s">
        <v>632</v>
      </c>
    </row>
    <row r="146" spans="2:18">
      <c r="B146" s="19" t="s">
        <v>605</v>
      </c>
    </row>
    <row r="147" spans="2:18">
      <c r="B147" s="19" t="s">
        <v>633</v>
      </c>
      <c r="C147" s="19" t="s">
        <v>634</v>
      </c>
      <c r="F147" s="19" t="s">
        <v>54</v>
      </c>
    </row>
    <row r="148" spans="2:18">
      <c r="B148" s="19" t="s">
        <v>635</v>
      </c>
      <c r="C148" s="19" t="s">
        <v>55</v>
      </c>
      <c r="D148" s="19" t="s">
        <v>636</v>
      </c>
      <c r="E148" s="19" t="s">
        <v>637</v>
      </c>
      <c r="F148" s="19" t="s">
        <v>638</v>
      </c>
      <c r="I148" s="19" t="s">
        <v>639</v>
      </c>
      <c r="K148" s="19" t="s">
        <v>640</v>
      </c>
      <c r="M148" s="19" t="s">
        <v>641</v>
      </c>
      <c r="P148" s="19" t="s">
        <v>642</v>
      </c>
      <c r="Q148" s="19" t="s">
        <v>643</v>
      </c>
      <c r="R148" s="19" t="s">
        <v>644</v>
      </c>
    </row>
    <row r="149" spans="2:18">
      <c r="B149" s="19" t="s">
        <v>16</v>
      </c>
    </row>
    <row r="150" spans="2:18">
      <c r="B150" s="19" t="s">
        <v>645</v>
      </c>
      <c r="F150" s="19" t="s">
        <v>646</v>
      </c>
      <c r="I150" s="19" t="s">
        <v>647</v>
      </c>
      <c r="K150" s="19" t="s">
        <v>648</v>
      </c>
      <c r="M150" s="19" t="s">
        <v>649</v>
      </c>
      <c r="P150" s="19" t="s">
        <v>650</v>
      </c>
      <c r="Q150" s="19" t="s">
        <v>651</v>
      </c>
      <c r="R150" s="19" t="s">
        <v>652</v>
      </c>
    </row>
    <row r="151" spans="2:18">
      <c r="B151" s="19" t="s">
        <v>633</v>
      </c>
    </row>
    <row r="152" spans="2:18">
      <c r="B152" s="19" t="s">
        <v>653</v>
      </c>
      <c r="C152" s="19" t="s">
        <v>654</v>
      </c>
      <c r="F152" s="19" t="s">
        <v>655</v>
      </c>
    </row>
    <row r="153" spans="2:18">
      <c r="B153" s="19" t="s">
        <v>656</v>
      </c>
      <c r="C153" s="19" t="s">
        <v>56</v>
      </c>
      <c r="D153" s="19" t="s">
        <v>657</v>
      </c>
      <c r="E153" s="19" t="s">
        <v>658</v>
      </c>
      <c r="F153" s="19" t="s">
        <v>659</v>
      </c>
      <c r="I153" s="19" t="s">
        <v>660</v>
      </c>
      <c r="K153" s="19" t="s">
        <v>661</v>
      </c>
      <c r="M153" s="19" t="s">
        <v>662</v>
      </c>
      <c r="P153" s="19" t="s">
        <v>663</v>
      </c>
      <c r="Q153" s="19" t="s">
        <v>664</v>
      </c>
      <c r="R153" s="19" t="s">
        <v>665</v>
      </c>
    </row>
    <row r="154" spans="2:18">
      <c r="B154" s="19" t="s">
        <v>16</v>
      </c>
    </row>
    <row r="155" spans="2:18">
      <c r="B155" s="19" t="s">
        <v>666</v>
      </c>
      <c r="F155" s="19" t="s">
        <v>667</v>
      </c>
      <c r="I155" s="19" t="s">
        <v>668</v>
      </c>
      <c r="K155" s="19" t="s">
        <v>669</v>
      </c>
      <c r="M155" s="19" t="s">
        <v>670</v>
      </c>
      <c r="P155" s="19" t="s">
        <v>671</v>
      </c>
      <c r="Q155" s="19" t="s">
        <v>672</v>
      </c>
      <c r="R155" s="19" t="s">
        <v>673</v>
      </c>
    </row>
    <row r="156" spans="2:18">
      <c r="B156" s="19" t="s">
        <v>653</v>
      </c>
    </row>
    <row r="157" spans="2:18">
      <c r="B157" s="19" t="s">
        <v>674</v>
      </c>
      <c r="C157" s="19" t="s">
        <v>675</v>
      </c>
      <c r="F157" s="19" t="s">
        <v>676</v>
      </c>
    </row>
    <row r="158" spans="2:18">
      <c r="B158" s="19" t="s">
        <v>677</v>
      </c>
      <c r="C158" s="19" t="s">
        <v>57</v>
      </c>
      <c r="D158" s="19" t="s">
        <v>678</v>
      </c>
      <c r="E158" s="19" t="s">
        <v>679</v>
      </c>
      <c r="F158" s="19" t="s">
        <v>680</v>
      </c>
      <c r="I158" s="19" t="s">
        <v>681</v>
      </c>
      <c r="K158" s="19" t="s">
        <v>682</v>
      </c>
      <c r="M158" s="19" t="s">
        <v>683</v>
      </c>
      <c r="P158" s="19" t="s">
        <v>684</v>
      </c>
      <c r="Q158" s="19" t="s">
        <v>685</v>
      </c>
      <c r="R158" s="19" t="s">
        <v>686</v>
      </c>
    </row>
    <row r="159" spans="2:18">
      <c r="B159" s="19" t="s">
        <v>16</v>
      </c>
    </row>
    <row r="160" spans="2:18">
      <c r="B160" s="19" t="s">
        <v>687</v>
      </c>
      <c r="F160" s="19" t="s">
        <v>688</v>
      </c>
      <c r="I160" s="19" t="s">
        <v>689</v>
      </c>
      <c r="K160" s="19" t="s">
        <v>690</v>
      </c>
      <c r="M160" s="19" t="s">
        <v>691</v>
      </c>
      <c r="P160" s="19" t="s">
        <v>692</v>
      </c>
      <c r="Q160" s="19" t="s">
        <v>693</v>
      </c>
      <c r="R160" s="19" t="s">
        <v>694</v>
      </c>
    </row>
    <row r="161" spans="2:18">
      <c r="B161" s="19" t="s">
        <v>674</v>
      </c>
    </row>
    <row r="162" spans="2:18">
      <c r="B162" s="19" t="s">
        <v>695</v>
      </c>
      <c r="F162" s="19" t="s">
        <v>58</v>
      </c>
      <c r="I162" s="19" t="s">
        <v>696</v>
      </c>
      <c r="K162" s="19" t="s">
        <v>697</v>
      </c>
      <c r="M162" s="19" t="s">
        <v>698</v>
      </c>
      <c r="P162" s="19" t="s">
        <v>699</v>
      </c>
      <c r="Q162" s="19" t="s">
        <v>700</v>
      </c>
      <c r="R162" s="19" t="s">
        <v>701</v>
      </c>
    </row>
    <row r="164" spans="2:18">
      <c r="B164" s="19" t="s">
        <v>702</v>
      </c>
      <c r="C164" s="19" t="s">
        <v>703</v>
      </c>
      <c r="F164" s="19" t="s">
        <v>704</v>
      </c>
    </row>
    <row r="165" spans="2:18">
      <c r="B165" s="19" t="s">
        <v>705</v>
      </c>
      <c r="C165" s="19" t="s">
        <v>59</v>
      </c>
      <c r="D165" s="19" t="s">
        <v>706</v>
      </c>
      <c r="E165" s="19" t="s">
        <v>707</v>
      </c>
      <c r="F165" s="19" t="s">
        <v>708</v>
      </c>
      <c r="I165" s="19" t="s">
        <v>709</v>
      </c>
      <c r="K165" s="19" t="s">
        <v>710</v>
      </c>
      <c r="M165" s="19" t="s">
        <v>711</v>
      </c>
      <c r="P165" s="19" t="s">
        <v>712</v>
      </c>
      <c r="Q165" s="19" t="s">
        <v>713</v>
      </c>
      <c r="R165" s="19" t="s">
        <v>714</v>
      </c>
    </row>
    <row r="166" spans="2:18">
      <c r="B166" s="19" t="s">
        <v>16</v>
      </c>
    </row>
    <row r="167" spans="2:18">
      <c r="B167" s="19" t="s">
        <v>715</v>
      </c>
      <c r="F167" s="19" t="s">
        <v>716</v>
      </c>
      <c r="I167" s="19" t="s">
        <v>717</v>
      </c>
      <c r="K167" s="19" t="s">
        <v>718</v>
      </c>
      <c r="M167" s="19" t="s">
        <v>719</v>
      </c>
      <c r="P167" s="19" t="s">
        <v>720</v>
      </c>
      <c r="Q167" s="19" t="s">
        <v>721</v>
      </c>
      <c r="R167" s="19" t="s">
        <v>722</v>
      </c>
    </row>
    <row r="168" spans="2:18">
      <c r="B168" s="19" t="s">
        <v>702</v>
      </c>
    </row>
    <row r="169" spans="2:18">
      <c r="B169" s="19" t="s">
        <v>723</v>
      </c>
      <c r="C169" s="19" t="s">
        <v>724</v>
      </c>
      <c r="F169" s="19" t="s">
        <v>725</v>
      </c>
    </row>
    <row r="170" spans="2:18">
      <c r="B170" s="19" t="s">
        <v>726</v>
      </c>
      <c r="C170" s="19" t="s">
        <v>60</v>
      </c>
      <c r="D170" s="19" t="s">
        <v>727</v>
      </c>
      <c r="E170" s="19" t="s">
        <v>728</v>
      </c>
      <c r="F170" s="19" t="s">
        <v>729</v>
      </c>
      <c r="I170" s="19" t="s">
        <v>730</v>
      </c>
      <c r="K170" s="19" t="s">
        <v>731</v>
      </c>
      <c r="M170" s="19" t="s">
        <v>732</v>
      </c>
      <c r="P170" s="19" t="s">
        <v>733</v>
      </c>
      <c r="Q170" s="19" t="s">
        <v>734</v>
      </c>
      <c r="R170" s="19" t="s">
        <v>735</v>
      </c>
    </row>
    <row r="171" spans="2:18">
      <c r="B171" s="19" t="s">
        <v>16</v>
      </c>
    </row>
    <row r="172" spans="2:18">
      <c r="B172" s="19" t="s">
        <v>736</v>
      </c>
      <c r="F172" s="19" t="s">
        <v>737</v>
      </c>
      <c r="I172" s="19" t="s">
        <v>738</v>
      </c>
      <c r="K172" s="19" t="s">
        <v>739</v>
      </c>
      <c r="M172" s="19" t="s">
        <v>740</v>
      </c>
      <c r="P172" s="19" t="s">
        <v>741</v>
      </c>
      <c r="Q172" s="19" t="s">
        <v>742</v>
      </c>
      <c r="R172" s="19" t="s">
        <v>743</v>
      </c>
    </row>
    <row r="173" spans="2:18">
      <c r="B173" s="19" t="s">
        <v>723</v>
      </c>
    </row>
    <row r="174" spans="2:18">
      <c r="B174" s="19" t="s">
        <v>744</v>
      </c>
      <c r="C174" s="19" t="s">
        <v>745</v>
      </c>
      <c r="F174" s="19" t="s">
        <v>746</v>
      </c>
    </row>
    <row r="175" spans="2:18">
      <c r="B175" s="19" t="s">
        <v>747</v>
      </c>
      <c r="C175" s="19" t="s">
        <v>61</v>
      </c>
      <c r="D175" s="19" t="s">
        <v>748</v>
      </c>
      <c r="E175" s="19" t="s">
        <v>749</v>
      </c>
      <c r="F175" s="19" t="s">
        <v>750</v>
      </c>
      <c r="I175" s="19" t="s">
        <v>751</v>
      </c>
      <c r="K175" s="19" t="s">
        <v>752</v>
      </c>
      <c r="M175" s="19" t="s">
        <v>753</v>
      </c>
      <c r="P175" s="19" t="s">
        <v>754</v>
      </c>
      <c r="Q175" s="19" t="s">
        <v>755</v>
      </c>
      <c r="R175" s="19" t="s">
        <v>756</v>
      </c>
    </row>
    <row r="176" spans="2:18">
      <c r="B176" s="19" t="s">
        <v>16</v>
      </c>
    </row>
    <row r="177" spans="2:18">
      <c r="B177" s="19" t="s">
        <v>757</v>
      </c>
      <c r="F177" s="19" t="s">
        <v>758</v>
      </c>
      <c r="I177" s="19" t="s">
        <v>759</v>
      </c>
      <c r="K177" s="19" t="s">
        <v>760</v>
      </c>
      <c r="M177" s="19" t="s">
        <v>761</v>
      </c>
      <c r="P177" s="19" t="s">
        <v>762</v>
      </c>
      <c r="Q177" s="19" t="s">
        <v>763</v>
      </c>
      <c r="R177" s="19" t="s">
        <v>764</v>
      </c>
    </row>
    <row r="178" spans="2:18">
      <c r="B178" s="19" t="s">
        <v>744</v>
      </c>
    </row>
    <row r="179" spans="2:18">
      <c r="B179" s="19" t="s">
        <v>765</v>
      </c>
      <c r="C179" s="19" t="s">
        <v>766</v>
      </c>
      <c r="F179" s="19" t="s">
        <v>767</v>
      </c>
    </row>
    <row r="180" spans="2:18">
      <c r="B180" s="19" t="s">
        <v>768</v>
      </c>
      <c r="C180" s="19" t="s">
        <v>62</v>
      </c>
      <c r="D180" s="19" t="s">
        <v>769</v>
      </c>
      <c r="E180" s="19" t="s">
        <v>770</v>
      </c>
      <c r="F180" s="19" t="s">
        <v>771</v>
      </c>
      <c r="I180" s="19" t="s">
        <v>772</v>
      </c>
      <c r="K180" s="19" t="s">
        <v>773</v>
      </c>
      <c r="M180" s="19" t="s">
        <v>774</v>
      </c>
      <c r="P180" s="19" t="s">
        <v>775</v>
      </c>
      <c r="Q180" s="19" t="s">
        <v>776</v>
      </c>
      <c r="R180" s="19" t="s">
        <v>777</v>
      </c>
    </row>
    <row r="181" spans="2:18">
      <c r="B181" s="19" t="s">
        <v>16</v>
      </c>
    </row>
    <row r="182" spans="2:18">
      <c r="B182" s="19" t="s">
        <v>778</v>
      </c>
      <c r="F182" s="19" t="s">
        <v>779</v>
      </c>
      <c r="I182" s="19" t="s">
        <v>780</v>
      </c>
      <c r="K182" s="19" t="s">
        <v>781</v>
      </c>
      <c r="M182" s="19" t="s">
        <v>782</v>
      </c>
      <c r="P182" s="19" t="s">
        <v>783</v>
      </c>
      <c r="Q182" s="19" t="s">
        <v>784</v>
      </c>
      <c r="R182" s="19" t="s">
        <v>785</v>
      </c>
    </row>
    <row r="183" spans="2:18">
      <c r="B183" s="19" t="s">
        <v>765</v>
      </c>
    </row>
    <row r="184" spans="2:18">
      <c r="B184" s="19" t="s">
        <v>786</v>
      </c>
      <c r="C184" s="19" t="s">
        <v>787</v>
      </c>
      <c r="F184" s="19" t="s">
        <v>788</v>
      </c>
    </row>
    <row r="185" spans="2:18">
      <c r="B185" s="19" t="s">
        <v>789</v>
      </c>
      <c r="C185" s="19" t="s">
        <v>63</v>
      </c>
      <c r="D185" s="19" t="s">
        <v>790</v>
      </c>
      <c r="E185" s="19" t="s">
        <v>791</v>
      </c>
      <c r="F185" s="19" t="s">
        <v>792</v>
      </c>
      <c r="I185" s="19" t="s">
        <v>793</v>
      </c>
      <c r="K185" s="19" t="s">
        <v>794</v>
      </c>
      <c r="M185" s="19" t="s">
        <v>795</v>
      </c>
      <c r="P185" s="19" t="s">
        <v>796</v>
      </c>
      <c r="Q185" s="19" t="s">
        <v>797</v>
      </c>
      <c r="R185" s="19" t="s">
        <v>798</v>
      </c>
    </row>
    <row r="186" spans="2:18">
      <c r="B186" s="19" t="s">
        <v>16</v>
      </c>
    </row>
    <row r="187" spans="2:18">
      <c r="B187" s="19" t="s">
        <v>799</v>
      </c>
      <c r="F187" s="19" t="s">
        <v>800</v>
      </c>
      <c r="I187" s="19" t="s">
        <v>801</v>
      </c>
      <c r="K187" s="19" t="s">
        <v>802</v>
      </c>
      <c r="M187" s="19" t="s">
        <v>803</v>
      </c>
      <c r="P187" s="19" t="s">
        <v>804</v>
      </c>
      <c r="Q187" s="19" t="s">
        <v>805</v>
      </c>
      <c r="R187" s="19" t="s">
        <v>806</v>
      </c>
    </row>
    <row r="188" spans="2:18">
      <c r="B188" s="19" t="s">
        <v>786</v>
      </c>
    </row>
    <row r="189" spans="2:18">
      <c r="B189" s="19" t="s">
        <v>807</v>
      </c>
      <c r="F189" s="19" t="s">
        <v>64</v>
      </c>
      <c r="I189" s="19" t="s">
        <v>808</v>
      </c>
      <c r="K189" s="19" t="s">
        <v>809</v>
      </c>
      <c r="M189" s="19" t="s">
        <v>810</v>
      </c>
      <c r="P189" s="19" t="s">
        <v>89</v>
      </c>
      <c r="Q189" s="19" t="s">
        <v>90</v>
      </c>
      <c r="R189" s="19" t="s">
        <v>811</v>
      </c>
    </row>
    <row r="191" spans="2:18">
      <c r="B191" s="19" t="s">
        <v>17</v>
      </c>
      <c r="F191" s="19" t="s">
        <v>65</v>
      </c>
      <c r="I191" s="19" t="s">
        <v>812</v>
      </c>
      <c r="K191" s="19" t="s">
        <v>813</v>
      </c>
      <c r="M191" s="19" t="s">
        <v>814</v>
      </c>
      <c r="P191" s="19" t="s">
        <v>815</v>
      </c>
      <c r="Q191" s="19" t="s">
        <v>816</v>
      </c>
      <c r="R191" s="19" t="s">
        <v>817</v>
      </c>
    </row>
    <row r="194" spans="2:18">
      <c r="B194" s="19" t="s">
        <v>818</v>
      </c>
    </row>
    <row r="195" spans="2:18">
      <c r="B195" s="19" t="s">
        <v>819</v>
      </c>
      <c r="F195" s="19" t="s">
        <v>66</v>
      </c>
      <c r="P195" s="19" t="s">
        <v>820</v>
      </c>
      <c r="Q195" s="19" t="s">
        <v>821</v>
      </c>
      <c r="R195" s="19" t="s">
        <v>822</v>
      </c>
    </row>
    <row r="196" spans="2:18">
      <c r="B196" s="19" t="s">
        <v>818</v>
      </c>
    </row>
    <row r="197" spans="2:18">
      <c r="B197" s="19" t="s">
        <v>823</v>
      </c>
      <c r="F197" s="19" t="s">
        <v>67</v>
      </c>
    </row>
    <row r="198" spans="2:18">
      <c r="B198" s="19" t="s">
        <v>824</v>
      </c>
      <c r="C198" s="19" t="s">
        <v>68</v>
      </c>
      <c r="D198" s="19" t="s">
        <v>825</v>
      </c>
      <c r="E198" s="19" t="s">
        <v>826</v>
      </c>
      <c r="F198" s="19" t="s">
        <v>827</v>
      </c>
      <c r="I198" s="19" t="s">
        <v>828</v>
      </c>
      <c r="K198" s="19" t="s">
        <v>829</v>
      </c>
      <c r="M198" s="19" t="s">
        <v>830</v>
      </c>
      <c r="P198" s="19" t="s">
        <v>831</v>
      </c>
      <c r="Q198" s="19" t="s">
        <v>832</v>
      </c>
      <c r="R198" s="19" t="s">
        <v>833</v>
      </c>
    </row>
    <row r="199" spans="2:18">
      <c r="B199" s="19" t="s">
        <v>16</v>
      </c>
    </row>
    <row r="200" spans="2:18">
      <c r="B200" s="19" t="s">
        <v>834</v>
      </c>
      <c r="F200" s="19" t="s">
        <v>835</v>
      </c>
      <c r="I200" s="19" t="s">
        <v>836</v>
      </c>
      <c r="K200" s="19" t="s">
        <v>837</v>
      </c>
      <c r="M200" s="19" t="s">
        <v>838</v>
      </c>
      <c r="P200" s="19" t="s">
        <v>839</v>
      </c>
      <c r="Q200" s="19" t="s">
        <v>840</v>
      </c>
      <c r="R200" s="19" t="s">
        <v>841</v>
      </c>
    </row>
    <row r="201" spans="2:18">
      <c r="B201" s="19" t="s">
        <v>823</v>
      </c>
    </row>
    <row r="202" spans="2:18">
      <c r="B202" s="19" t="s">
        <v>842</v>
      </c>
      <c r="F202" s="19" t="s">
        <v>69</v>
      </c>
    </row>
    <row r="203" spans="2:18">
      <c r="B203" s="19" t="s">
        <v>843</v>
      </c>
      <c r="C203" s="19" t="s">
        <v>70</v>
      </c>
      <c r="D203" s="19" t="s">
        <v>844</v>
      </c>
      <c r="E203" s="19" t="s">
        <v>845</v>
      </c>
      <c r="F203" s="19" t="s">
        <v>846</v>
      </c>
      <c r="I203" s="19" t="s">
        <v>847</v>
      </c>
      <c r="K203" s="19" t="s">
        <v>848</v>
      </c>
      <c r="M203" s="19" t="s">
        <v>849</v>
      </c>
      <c r="P203" s="19" t="s">
        <v>850</v>
      </c>
      <c r="Q203" s="19" t="s">
        <v>851</v>
      </c>
      <c r="R203" s="19" t="s">
        <v>852</v>
      </c>
    </row>
    <row r="204" spans="2:18">
      <c r="B204" s="19" t="s">
        <v>16</v>
      </c>
    </row>
    <row r="205" spans="2:18">
      <c r="B205" s="19" t="s">
        <v>853</v>
      </c>
      <c r="F205" s="19" t="s">
        <v>854</v>
      </c>
      <c r="I205" s="19" t="s">
        <v>855</v>
      </c>
      <c r="K205" s="19" t="s">
        <v>856</v>
      </c>
      <c r="M205" s="19" t="s">
        <v>857</v>
      </c>
      <c r="P205" s="19" t="s">
        <v>858</v>
      </c>
      <c r="Q205" s="19" t="s">
        <v>859</v>
      </c>
      <c r="R205" s="19" t="s">
        <v>860</v>
      </c>
    </row>
    <row r="206" spans="2:18">
      <c r="B206" s="19" t="s">
        <v>842</v>
      </c>
    </row>
    <row r="207" spans="2:18">
      <c r="B207" s="19" t="s">
        <v>861</v>
      </c>
      <c r="F207" s="19" t="s">
        <v>71</v>
      </c>
      <c r="I207" s="19" t="s">
        <v>862</v>
      </c>
      <c r="K207" s="19" t="s">
        <v>863</v>
      </c>
      <c r="M207" s="19" t="s">
        <v>864</v>
      </c>
      <c r="P207" s="19" t="s">
        <v>865</v>
      </c>
      <c r="Q207" s="19" t="s">
        <v>866</v>
      </c>
      <c r="R207" s="19" t="s">
        <v>867</v>
      </c>
    </row>
    <row r="208" spans="2:18">
      <c r="B208" s="19" t="s">
        <v>818</v>
      </c>
    </row>
    <row r="209" spans="2:18">
      <c r="B209" s="19" t="s">
        <v>818</v>
      </c>
    </row>
    <row r="210" spans="2:18">
      <c r="B210" s="19" t="s">
        <v>868</v>
      </c>
      <c r="F210" s="19" t="s">
        <v>72</v>
      </c>
    </row>
    <row r="211" spans="2:18">
      <c r="B211" s="19" t="s">
        <v>869</v>
      </c>
      <c r="C211" s="19" t="s">
        <v>73</v>
      </c>
      <c r="D211" s="19" t="s">
        <v>870</v>
      </c>
      <c r="E211" s="19" t="s">
        <v>871</v>
      </c>
      <c r="F211" s="19" t="s">
        <v>872</v>
      </c>
      <c r="I211" s="19" t="s">
        <v>873</v>
      </c>
      <c r="K211" s="19" t="s">
        <v>874</v>
      </c>
      <c r="M211" s="19" t="s">
        <v>875</v>
      </c>
      <c r="P211" s="19" t="s">
        <v>876</v>
      </c>
      <c r="Q211" s="19" t="s">
        <v>877</v>
      </c>
      <c r="R211" s="19" t="s">
        <v>878</v>
      </c>
    </row>
    <row r="212" spans="2:18">
      <c r="B212" s="19" t="s">
        <v>16</v>
      </c>
    </row>
    <row r="213" spans="2:18">
      <c r="B213" s="19" t="s">
        <v>879</v>
      </c>
      <c r="F213" s="19" t="s">
        <v>880</v>
      </c>
      <c r="I213" s="19" t="s">
        <v>881</v>
      </c>
      <c r="K213" s="19" t="s">
        <v>882</v>
      </c>
      <c r="M213" s="19" t="s">
        <v>883</v>
      </c>
      <c r="P213" s="19" t="s">
        <v>884</v>
      </c>
      <c r="Q213" s="19" t="s">
        <v>885</v>
      </c>
      <c r="R213" s="19" t="s">
        <v>886</v>
      </c>
    </row>
    <row r="214" spans="2:18">
      <c r="B214" s="19" t="s">
        <v>868</v>
      </c>
    </row>
    <row r="215" spans="2:18">
      <c r="B215" s="19" t="s">
        <v>887</v>
      </c>
      <c r="F215" s="19" t="s">
        <v>74</v>
      </c>
    </row>
    <row r="216" spans="2:18">
      <c r="B216" s="19" t="s">
        <v>888</v>
      </c>
      <c r="C216" s="19" t="s">
        <v>75</v>
      </c>
      <c r="D216" s="19" t="s">
        <v>889</v>
      </c>
      <c r="E216" s="19" t="s">
        <v>890</v>
      </c>
      <c r="F216" s="19" t="s">
        <v>891</v>
      </c>
      <c r="I216" s="19" t="s">
        <v>892</v>
      </c>
      <c r="K216" s="19" t="s">
        <v>893</v>
      </c>
      <c r="M216" s="19" t="s">
        <v>894</v>
      </c>
      <c r="P216" s="19" t="s">
        <v>895</v>
      </c>
      <c r="Q216" s="19" t="s">
        <v>896</v>
      </c>
      <c r="R216" s="19" t="s">
        <v>897</v>
      </c>
    </row>
    <row r="217" spans="2:18">
      <c r="B217" s="19" t="s">
        <v>16</v>
      </c>
    </row>
    <row r="218" spans="2:18">
      <c r="B218" s="19" t="s">
        <v>898</v>
      </c>
      <c r="F218" s="19" t="s">
        <v>899</v>
      </c>
      <c r="I218" s="19" t="s">
        <v>900</v>
      </c>
      <c r="K218" s="19" t="s">
        <v>901</v>
      </c>
      <c r="M218" s="19" t="s">
        <v>902</v>
      </c>
      <c r="P218" s="19" t="s">
        <v>903</v>
      </c>
      <c r="Q218" s="19" t="s">
        <v>904</v>
      </c>
      <c r="R218" s="19" t="s">
        <v>905</v>
      </c>
    </row>
    <row r="219" spans="2:18">
      <c r="B219" s="19" t="s">
        <v>887</v>
      </c>
    </row>
    <row r="220" spans="2:18">
      <c r="B220" s="19" t="s">
        <v>818</v>
      </c>
    </row>
    <row r="221" spans="2:18">
      <c r="B221" s="19" t="s">
        <v>906</v>
      </c>
      <c r="C221" s="19" t="s">
        <v>787</v>
      </c>
      <c r="F221" s="19" t="s">
        <v>907</v>
      </c>
    </row>
    <row r="222" spans="2:18">
      <c r="B222" s="19" t="s">
        <v>908</v>
      </c>
      <c r="C222" s="19" t="s">
        <v>76</v>
      </c>
      <c r="D222" s="19" t="s">
        <v>909</v>
      </c>
      <c r="E222" s="19" t="s">
        <v>910</v>
      </c>
      <c r="F222" s="19" t="s">
        <v>911</v>
      </c>
      <c r="I222" s="19" t="s">
        <v>912</v>
      </c>
      <c r="K222" s="19" t="s">
        <v>913</v>
      </c>
      <c r="M222" s="19" t="s">
        <v>914</v>
      </c>
      <c r="P222" s="19" t="s">
        <v>915</v>
      </c>
      <c r="Q222" s="19" t="s">
        <v>916</v>
      </c>
      <c r="R222" s="19" t="s">
        <v>917</v>
      </c>
    </row>
    <row r="223" spans="2:18">
      <c r="B223" s="19" t="s">
        <v>16</v>
      </c>
    </row>
    <row r="224" spans="2:18">
      <c r="B224" s="19" t="s">
        <v>918</v>
      </c>
      <c r="F224" s="19" t="s">
        <v>919</v>
      </c>
      <c r="I224" s="19" t="s">
        <v>920</v>
      </c>
      <c r="K224" s="19" t="s">
        <v>921</v>
      </c>
      <c r="M224" s="19" t="s">
        <v>922</v>
      </c>
      <c r="P224" s="19" t="s">
        <v>923</v>
      </c>
      <c r="Q224" s="19" t="s">
        <v>924</v>
      </c>
      <c r="R224" s="19" t="s">
        <v>925</v>
      </c>
    </row>
    <row r="225" spans="2:18">
      <c r="B225" s="19" t="s">
        <v>906</v>
      </c>
    </row>
    <row r="226" spans="2:18">
      <c r="B226" s="19" t="s">
        <v>926</v>
      </c>
      <c r="F226" s="19" t="s">
        <v>77</v>
      </c>
      <c r="I226" s="19" t="s">
        <v>927</v>
      </c>
      <c r="K226" s="19" t="s">
        <v>928</v>
      </c>
      <c r="M226" s="19" t="s">
        <v>929</v>
      </c>
      <c r="P226" s="19" t="s">
        <v>930</v>
      </c>
      <c r="Q226" s="19" t="s">
        <v>931</v>
      </c>
      <c r="R226" s="19" t="s">
        <v>932</v>
      </c>
    </row>
    <row r="227" spans="2:18">
      <c r="B227" s="19" t="s">
        <v>818</v>
      </c>
    </row>
    <row r="228" spans="2:18">
      <c r="B228" s="19" t="s">
        <v>933</v>
      </c>
      <c r="F228" s="19" t="s">
        <v>78</v>
      </c>
      <c r="I228" s="19" t="s">
        <v>934</v>
      </c>
      <c r="K228" s="19" t="s">
        <v>935</v>
      </c>
      <c r="M228" s="19" t="s">
        <v>936</v>
      </c>
      <c r="P228" s="19" t="s">
        <v>937</v>
      </c>
      <c r="Q228" s="19" t="s">
        <v>938</v>
      </c>
      <c r="R228" s="19" t="s">
        <v>939</v>
      </c>
    </row>
    <row r="229" spans="2:18">
      <c r="B229" s="19" t="s">
        <v>818</v>
      </c>
    </row>
    <row r="230" spans="2:18">
      <c r="B230" s="19" t="s">
        <v>17</v>
      </c>
      <c r="F230" s="19" t="s">
        <v>79</v>
      </c>
      <c r="I230" s="19" t="s">
        <v>940</v>
      </c>
      <c r="K230" s="19" t="s">
        <v>941</v>
      </c>
      <c r="M230" s="19" t="s">
        <v>942</v>
      </c>
      <c r="P230" s="19" t="s">
        <v>943</v>
      </c>
      <c r="Q230" s="19" t="s">
        <v>944</v>
      </c>
      <c r="R230" s="19" t="s">
        <v>945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95F0-D56F-486A-9829-54E90A57BA7F}">
  <dimension ref="A1:R230"/>
  <sheetViews>
    <sheetView workbookViewId="0"/>
  </sheetViews>
  <sheetFormatPr defaultRowHeight="15"/>
  <sheetData>
    <row r="1" spans="1:18">
      <c r="A1" s="19" t="s">
        <v>80</v>
      </c>
      <c r="B1" s="19" t="s">
        <v>15</v>
      </c>
      <c r="C1" s="19" t="s">
        <v>16</v>
      </c>
      <c r="D1" s="19" t="s">
        <v>16</v>
      </c>
      <c r="E1" s="19" t="s">
        <v>81</v>
      </c>
      <c r="F1" s="19" t="s">
        <v>17</v>
      </c>
      <c r="I1" s="19" t="s">
        <v>18</v>
      </c>
      <c r="K1" s="19" t="s">
        <v>18</v>
      </c>
      <c r="M1" s="19" t="s">
        <v>18</v>
      </c>
      <c r="P1" s="19" t="s">
        <v>16</v>
      </c>
      <c r="Q1" s="19" t="s">
        <v>16</v>
      </c>
      <c r="R1" s="19" t="s">
        <v>16</v>
      </c>
    </row>
    <row r="2" spans="1:18">
      <c r="B2" s="19" t="s">
        <v>82</v>
      </c>
      <c r="P2" s="19" t="s">
        <v>83</v>
      </c>
    </row>
    <row r="3" spans="1:18">
      <c r="F3" s="19" t="s">
        <v>19</v>
      </c>
    </row>
    <row r="4" spans="1:18">
      <c r="C4" s="19" t="s">
        <v>84</v>
      </c>
      <c r="F4" s="19" t="s">
        <v>20</v>
      </c>
      <c r="P4" s="19" t="s">
        <v>85</v>
      </c>
      <c r="Q4" s="19" t="s">
        <v>86</v>
      </c>
    </row>
    <row r="5" spans="1:18">
      <c r="C5" s="19" t="s">
        <v>87</v>
      </c>
      <c r="F5" s="19" t="s">
        <v>88</v>
      </c>
      <c r="P5" s="19" t="s">
        <v>89</v>
      </c>
      <c r="Q5" s="19" t="s">
        <v>90</v>
      </c>
    </row>
    <row r="7" spans="1:18">
      <c r="F7" s="19" t="s">
        <v>91</v>
      </c>
    </row>
    <row r="8" spans="1:18">
      <c r="F8" s="19" t="s">
        <v>92</v>
      </c>
    </row>
    <row r="10" spans="1:18">
      <c r="I10" s="19" t="s">
        <v>93</v>
      </c>
      <c r="K10" s="19" t="s">
        <v>94</v>
      </c>
      <c r="M10" s="19" t="s">
        <v>95</v>
      </c>
    </row>
    <row r="11" spans="1:18">
      <c r="I11" s="19" t="s">
        <v>21</v>
      </c>
      <c r="K11" s="19" t="s">
        <v>21</v>
      </c>
      <c r="M11" s="19" t="s">
        <v>22</v>
      </c>
    </row>
    <row r="12" spans="1:18">
      <c r="F12" s="19" t="s">
        <v>23</v>
      </c>
    </row>
    <row r="14" spans="1:18">
      <c r="F14" s="19" t="s">
        <v>24</v>
      </c>
    </row>
    <row r="15" spans="1:18">
      <c r="B15" s="19" t="s">
        <v>96</v>
      </c>
      <c r="C15" s="19" t="s">
        <v>97</v>
      </c>
      <c r="F15" s="19" t="s">
        <v>946</v>
      </c>
    </row>
    <row r="16" spans="1:18">
      <c r="B16" s="19" t="s">
        <v>99</v>
      </c>
      <c r="C16" s="19" t="s">
        <v>25</v>
      </c>
      <c r="D16" s="19" t="s">
        <v>100</v>
      </c>
      <c r="E16" s="19" t="s">
        <v>101</v>
      </c>
      <c r="F16" s="19" t="s">
        <v>102</v>
      </c>
      <c r="I16" s="19" t="s">
        <v>103</v>
      </c>
      <c r="K16" s="19" t="s">
        <v>104</v>
      </c>
      <c r="M16" s="19" t="s">
        <v>105</v>
      </c>
      <c r="P16" s="19" t="s">
        <v>106</v>
      </c>
      <c r="Q16" s="19" t="s">
        <v>107</v>
      </c>
      <c r="R16" s="19" t="s">
        <v>108</v>
      </c>
    </row>
    <row r="17" spans="2:18">
      <c r="B17" s="19" t="s">
        <v>16</v>
      </c>
    </row>
    <row r="18" spans="2:18">
      <c r="B18" s="19" t="s">
        <v>109</v>
      </c>
      <c r="F18" s="19" t="s">
        <v>110</v>
      </c>
      <c r="I18" s="19" t="s">
        <v>111</v>
      </c>
      <c r="K18" s="19" t="s">
        <v>112</v>
      </c>
      <c r="M18" s="19" t="s">
        <v>113</v>
      </c>
      <c r="P18" s="19" t="s">
        <v>114</v>
      </c>
      <c r="Q18" s="19" t="s">
        <v>115</v>
      </c>
      <c r="R18" s="19" t="s">
        <v>116</v>
      </c>
    </row>
    <row r="19" spans="2:18">
      <c r="B19" s="19" t="s">
        <v>96</v>
      </c>
    </row>
    <row r="20" spans="2:18">
      <c r="B20" s="19" t="s">
        <v>117</v>
      </c>
      <c r="C20" s="19" t="s">
        <v>118</v>
      </c>
      <c r="F20" s="19" t="s">
        <v>119</v>
      </c>
    </row>
    <row r="21" spans="2:18">
      <c r="B21" s="19" t="s">
        <v>120</v>
      </c>
      <c r="C21" s="19" t="s">
        <v>27</v>
      </c>
      <c r="D21" s="19" t="s">
        <v>121</v>
      </c>
      <c r="E21" s="19" t="s">
        <v>122</v>
      </c>
      <c r="F21" s="19" t="s">
        <v>123</v>
      </c>
      <c r="I21" s="19" t="s">
        <v>124</v>
      </c>
      <c r="K21" s="19" t="s">
        <v>125</v>
      </c>
      <c r="M21" s="19" t="s">
        <v>126</v>
      </c>
      <c r="P21" s="19" t="s">
        <v>127</v>
      </c>
      <c r="Q21" s="19" t="s">
        <v>128</v>
      </c>
      <c r="R21" s="19" t="s">
        <v>129</v>
      </c>
    </row>
    <row r="22" spans="2:18">
      <c r="B22" s="19" t="s">
        <v>16</v>
      </c>
    </row>
    <row r="23" spans="2:18">
      <c r="B23" s="19" t="s">
        <v>130</v>
      </c>
      <c r="F23" s="19" t="s">
        <v>131</v>
      </c>
      <c r="I23" s="19" t="s">
        <v>132</v>
      </c>
      <c r="K23" s="19" t="s">
        <v>133</v>
      </c>
      <c r="M23" s="19" t="s">
        <v>134</v>
      </c>
      <c r="P23" s="19" t="s">
        <v>135</v>
      </c>
      <c r="Q23" s="19" t="s">
        <v>136</v>
      </c>
      <c r="R23" s="19" t="s">
        <v>137</v>
      </c>
    </row>
    <row r="24" spans="2:18">
      <c r="B24" s="19" t="s">
        <v>117</v>
      </c>
    </row>
    <row r="25" spans="2:18">
      <c r="B25" s="19" t="s">
        <v>138</v>
      </c>
      <c r="C25" s="19" t="s">
        <v>139</v>
      </c>
      <c r="F25" s="19" t="s">
        <v>140</v>
      </c>
    </row>
    <row r="26" spans="2:18">
      <c r="B26" s="19" t="s">
        <v>141</v>
      </c>
      <c r="C26" s="19" t="s">
        <v>28</v>
      </c>
      <c r="D26" s="19" t="s">
        <v>142</v>
      </c>
      <c r="E26" s="19" t="s">
        <v>143</v>
      </c>
      <c r="F26" s="19" t="s">
        <v>144</v>
      </c>
      <c r="I26" s="19" t="s">
        <v>145</v>
      </c>
      <c r="K26" s="19" t="s">
        <v>146</v>
      </c>
      <c r="M26" s="19" t="s">
        <v>147</v>
      </c>
      <c r="P26" s="19" t="s">
        <v>148</v>
      </c>
      <c r="Q26" s="19" t="s">
        <v>149</v>
      </c>
      <c r="R26" s="19" t="s">
        <v>150</v>
      </c>
    </row>
    <row r="27" spans="2:18">
      <c r="B27" s="19" t="s">
        <v>16</v>
      </c>
    </row>
    <row r="28" spans="2:18">
      <c r="B28" s="19" t="s">
        <v>151</v>
      </c>
      <c r="F28" s="19" t="s">
        <v>152</v>
      </c>
      <c r="I28" s="19" t="s">
        <v>153</v>
      </c>
      <c r="K28" s="19" t="s">
        <v>154</v>
      </c>
      <c r="M28" s="19" t="s">
        <v>155</v>
      </c>
      <c r="P28" s="19" t="s">
        <v>156</v>
      </c>
      <c r="Q28" s="19" t="s">
        <v>157</v>
      </c>
      <c r="R28" s="19" t="s">
        <v>158</v>
      </c>
    </row>
    <row r="29" spans="2:18">
      <c r="B29" s="19" t="s">
        <v>117</v>
      </c>
    </row>
    <row r="30" spans="2:18">
      <c r="B30" s="19" t="s">
        <v>159</v>
      </c>
      <c r="C30" s="19" t="s">
        <v>160</v>
      </c>
      <c r="F30" s="19" t="s">
        <v>161</v>
      </c>
    </row>
    <row r="31" spans="2:18">
      <c r="B31" s="19" t="s">
        <v>162</v>
      </c>
      <c r="C31" s="19" t="s">
        <v>29</v>
      </c>
      <c r="D31" s="19" t="s">
        <v>163</v>
      </c>
      <c r="E31" s="19" t="s">
        <v>164</v>
      </c>
      <c r="F31" s="19" t="s">
        <v>165</v>
      </c>
      <c r="I31" s="19" t="s">
        <v>166</v>
      </c>
      <c r="K31" s="19" t="s">
        <v>167</v>
      </c>
      <c r="M31" s="19" t="s">
        <v>168</v>
      </c>
      <c r="P31" s="19" t="s">
        <v>169</v>
      </c>
      <c r="Q31" s="19" t="s">
        <v>170</v>
      </c>
      <c r="R31" s="19" t="s">
        <v>171</v>
      </c>
    </row>
    <row r="32" spans="2:18">
      <c r="B32" s="19" t="s">
        <v>16</v>
      </c>
    </row>
    <row r="33" spans="2:18">
      <c r="B33" s="19" t="s">
        <v>172</v>
      </c>
      <c r="F33" s="19" t="s">
        <v>173</v>
      </c>
      <c r="I33" s="19" t="s">
        <v>174</v>
      </c>
      <c r="K33" s="19" t="s">
        <v>175</v>
      </c>
      <c r="M33" s="19" t="s">
        <v>176</v>
      </c>
      <c r="P33" s="19" t="s">
        <v>177</v>
      </c>
      <c r="Q33" s="19" t="s">
        <v>178</v>
      </c>
      <c r="R33" s="19" t="s">
        <v>179</v>
      </c>
    </row>
    <row r="34" spans="2:18">
      <c r="B34" s="19" t="s">
        <v>117</v>
      </c>
    </row>
    <row r="35" spans="2:18">
      <c r="B35" s="19" t="s">
        <v>180</v>
      </c>
      <c r="C35" s="19" t="s">
        <v>181</v>
      </c>
      <c r="F35" s="19" t="s">
        <v>182</v>
      </c>
    </row>
    <row r="36" spans="2:18">
      <c r="B36" s="19" t="s">
        <v>183</v>
      </c>
      <c r="C36" s="19" t="s">
        <v>30</v>
      </c>
      <c r="D36" s="19" t="s">
        <v>184</v>
      </c>
      <c r="E36" s="19" t="s">
        <v>185</v>
      </c>
      <c r="F36" s="19" t="s">
        <v>186</v>
      </c>
      <c r="I36" s="19" t="s">
        <v>187</v>
      </c>
      <c r="K36" s="19" t="s">
        <v>188</v>
      </c>
      <c r="M36" s="19" t="s">
        <v>189</v>
      </c>
      <c r="P36" s="19" t="s">
        <v>190</v>
      </c>
      <c r="Q36" s="19" t="s">
        <v>191</v>
      </c>
      <c r="R36" s="19" t="s">
        <v>192</v>
      </c>
    </row>
    <row r="37" spans="2:18">
      <c r="B37" s="19" t="s">
        <v>16</v>
      </c>
    </row>
    <row r="38" spans="2:18">
      <c r="B38" s="19" t="s">
        <v>193</v>
      </c>
      <c r="F38" s="19" t="s">
        <v>194</v>
      </c>
      <c r="I38" s="19" t="s">
        <v>195</v>
      </c>
      <c r="K38" s="19" t="s">
        <v>196</v>
      </c>
      <c r="M38" s="19" t="s">
        <v>197</v>
      </c>
      <c r="P38" s="19" t="s">
        <v>198</v>
      </c>
      <c r="Q38" s="19" t="s">
        <v>199</v>
      </c>
      <c r="R38" s="19" t="s">
        <v>200</v>
      </c>
    </row>
    <row r="39" spans="2:18">
      <c r="B39" s="19" t="s">
        <v>180</v>
      </c>
    </row>
    <row r="40" spans="2:18">
      <c r="B40" s="19" t="s">
        <v>201</v>
      </c>
      <c r="C40" s="19" t="s">
        <v>202</v>
      </c>
      <c r="F40" s="19" t="s">
        <v>203</v>
      </c>
    </row>
    <row r="41" spans="2:18">
      <c r="B41" s="19" t="s">
        <v>204</v>
      </c>
      <c r="C41" s="19" t="s">
        <v>31</v>
      </c>
      <c r="D41" s="19" t="s">
        <v>205</v>
      </c>
      <c r="E41" s="19" t="s">
        <v>206</v>
      </c>
      <c r="F41" s="19" t="s">
        <v>207</v>
      </c>
      <c r="I41" s="19" t="s">
        <v>208</v>
      </c>
      <c r="K41" s="19" t="s">
        <v>209</v>
      </c>
      <c r="M41" s="19" t="s">
        <v>210</v>
      </c>
      <c r="P41" s="19" t="s">
        <v>211</v>
      </c>
      <c r="Q41" s="19" t="s">
        <v>212</v>
      </c>
      <c r="R41" s="19" t="s">
        <v>213</v>
      </c>
    </row>
    <row r="42" spans="2:18">
      <c r="B42" s="19" t="s">
        <v>16</v>
      </c>
    </row>
    <row r="43" spans="2:18">
      <c r="B43" s="19" t="s">
        <v>214</v>
      </c>
      <c r="F43" s="19" t="s">
        <v>215</v>
      </c>
      <c r="I43" s="19" t="s">
        <v>216</v>
      </c>
      <c r="K43" s="19" t="s">
        <v>217</v>
      </c>
      <c r="M43" s="19" t="s">
        <v>218</v>
      </c>
      <c r="P43" s="19" t="s">
        <v>219</v>
      </c>
      <c r="Q43" s="19" t="s">
        <v>220</v>
      </c>
      <c r="R43" s="19" t="s">
        <v>221</v>
      </c>
    </row>
    <row r="44" spans="2:18">
      <c r="B44" s="19" t="s">
        <v>201</v>
      </c>
    </row>
    <row r="45" spans="2:18">
      <c r="B45" s="19" t="s">
        <v>222</v>
      </c>
      <c r="C45" s="19" t="s">
        <v>223</v>
      </c>
      <c r="F45" s="19" t="s">
        <v>224</v>
      </c>
    </row>
    <row r="46" spans="2:18">
      <c r="B46" s="19" t="s">
        <v>225</v>
      </c>
      <c r="C46" s="19" t="s">
        <v>32</v>
      </c>
      <c r="D46" s="19" t="s">
        <v>226</v>
      </c>
      <c r="E46" s="19" t="s">
        <v>227</v>
      </c>
      <c r="F46" s="19" t="s">
        <v>228</v>
      </c>
      <c r="I46" s="19" t="s">
        <v>229</v>
      </c>
      <c r="K46" s="19" t="s">
        <v>230</v>
      </c>
      <c r="M46" s="19" t="s">
        <v>231</v>
      </c>
      <c r="P46" s="19" t="s">
        <v>232</v>
      </c>
      <c r="Q46" s="19" t="s">
        <v>233</v>
      </c>
      <c r="R46" s="19" t="s">
        <v>234</v>
      </c>
    </row>
    <row r="47" spans="2:18">
      <c r="B47" s="19" t="s">
        <v>16</v>
      </c>
    </row>
    <row r="48" spans="2:18">
      <c r="B48" s="19" t="s">
        <v>235</v>
      </c>
      <c r="F48" s="19" t="s">
        <v>236</v>
      </c>
      <c r="I48" s="19" t="s">
        <v>237</v>
      </c>
      <c r="K48" s="19" t="s">
        <v>238</v>
      </c>
      <c r="M48" s="19" t="s">
        <v>239</v>
      </c>
      <c r="P48" s="19" t="s">
        <v>240</v>
      </c>
      <c r="Q48" s="19" t="s">
        <v>241</v>
      </c>
      <c r="R48" s="19" t="s">
        <v>242</v>
      </c>
    </row>
    <row r="49" spans="2:18">
      <c r="B49" s="19" t="s">
        <v>222</v>
      </c>
    </row>
    <row r="50" spans="2:18">
      <c r="B50" s="19" t="s">
        <v>243</v>
      </c>
      <c r="C50" s="19" t="s">
        <v>244</v>
      </c>
      <c r="F50" s="19" t="s">
        <v>245</v>
      </c>
    </row>
    <row r="51" spans="2:18">
      <c r="B51" s="19" t="s">
        <v>246</v>
      </c>
      <c r="C51" s="19" t="s">
        <v>33</v>
      </c>
      <c r="D51" s="19" t="s">
        <v>247</v>
      </c>
      <c r="E51" s="19" t="s">
        <v>248</v>
      </c>
      <c r="F51" s="19" t="s">
        <v>249</v>
      </c>
      <c r="I51" s="19" t="s">
        <v>250</v>
      </c>
      <c r="K51" s="19" t="s">
        <v>251</v>
      </c>
      <c r="M51" s="19" t="s">
        <v>252</v>
      </c>
      <c r="P51" s="19" t="s">
        <v>253</v>
      </c>
      <c r="Q51" s="19" t="s">
        <v>254</v>
      </c>
      <c r="R51" s="19" t="s">
        <v>255</v>
      </c>
    </row>
    <row r="52" spans="2:18">
      <c r="B52" s="19" t="s">
        <v>16</v>
      </c>
    </row>
    <row r="53" spans="2:18">
      <c r="B53" s="19" t="s">
        <v>256</v>
      </c>
      <c r="F53" s="19" t="s">
        <v>257</v>
      </c>
      <c r="I53" s="19" t="s">
        <v>258</v>
      </c>
      <c r="K53" s="19" t="s">
        <v>259</v>
      </c>
      <c r="M53" s="19" t="s">
        <v>260</v>
      </c>
      <c r="P53" s="19" t="s">
        <v>261</v>
      </c>
      <c r="Q53" s="19" t="s">
        <v>262</v>
      </c>
      <c r="R53" s="19" t="s">
        <v>263</v>
      </c>
    </row>
    <row r="54" spans="2:18">
      <c r="B54" s="19" t="s">
        <v>243</v>
      </c>
    </row>
    <row r="55" spans="2:18">
      <c r="B55" s="19" t="s">
        <v>264</v>
      </c>
      <c r="C55" s="19" t="s">
        <v>265</v>
      </c>
      <c r="F55" s="19" t="s">
        <v>266</v>
      </c>
    </row>
    <row r="56" spans="2:18">
      <c r="B56" s="19" t="s">
        <v>267</v>
      </c>
      <c r="C56" s="19" t="s">
        <v>34</v>
      </c>
      <c r="D56" s="19" t="s">
        <v>268</v>
      </c>
      <c r="E56" s="19" t="s">
        <v>269</v>
      </c>
      <c r="F56" s="19" t="s">
        <v>270</v>
      </c>
      <c r="I56" s="19" t="s">
        <v>271</v>
      </c>
      <c r="K56" s="19" t="s">
        <v>272</v>
      </c>
      <c r="M56" s="19" t="s">
        <v>273</v>
      </c>
      <c r="P56" s="19" t="s">
        <v>274</v>
      </c>
      <c r="Q56" s="19" t="s">
        <v>275</v>
      </c>
      <c r="R56" s="19" t="s">
        <v>276</v>
      </c>
    </row>
    <row r="57" spans="2:18">
      <c r="B57" s="19" t="s">
        <v>16</v>
      </c>
    </row>
    <row r="58" spans="2:18">
      <c r="B58" s="19" t="s">
        <v>277</v>
      </c>
      <c r="F58" s="19" t="s">
        <v>278</v>
      </c>
      <c r="I58" s="19" t="s">
        <v>279</v>
      </c>
      <c r="K58" s="19" t="s">
        <v>280</v>
      </c>
      <c r="M58" s="19" t="s">
        <v>281</v>
      </c>
      <c r="P58" s="19" t="s">
        <v>282</v>
      </c>
      <c r="Q58" s="19" t="s">
        <v>283</v>
      </c>
      <c r="R58" s="19" t="s">
        <v>284</v>
      </c>
    </row>
    <row r="59" spans="2:18">
      <c r="B59" s="19" t="s">
        <v>264</v>
      </c>
    </row>
    <row r="60" spans="2:18">
      <c r="B60" s="19" t="s">
        <v>285</v>
      </c>
      <c r="C60" s="19" t="s">
        <v>286</v>
      </c>
      <c r="F60" s="19" t="s">
        <v>287</v>
      </c>
    </row>
    <row r="61" spans="2:18">
      <c r="B61" s="19" t="s">
        <v>288</v>
      </c>
      <c r="C61" s="19" t="s">
        <v>35</v>
      </c>
      <c r="D61" s="19" t="s">
        <v>289</v>
      </c>
      <c r="E61" s="19" t="s">
        <v>290</v>
      </c>
      <c r="F61" s="19" t="s">
        <v>291</v>
      </c>
      <c r="I61" s="19" t="s">
        <v>292</v>
      </c>
      <c r="K61" s="19" t="s">
        <v>293</v>
      </c>
      <c r="M61" s="19" t="s">
        <v>294</v>
      </c>
      <c r="P61" s="19" t="s">
        <v>295</v>
      </c>
      <c r="Q61" s="19" t="s">
        <v>296</v>
      </c>
      <c r="R61" s="19" t="s">
        <v>297</v>
      </c>
    </row>
    <row r="62" spans="2:18">
      <c r="B62" s="19" t="s">
        <v>16</v>
      </c>
    </row>
    <row r="63" spans="2:18">
      <c r="B63" s="19" t="s">
        <v>298</v>
      </c>
      <c r="F63" s="19" t="s">
        <v>299</v>
      </c>
      <c r="I63" s="19" t="s">
        <v>300</v>
      </c>
      <c r="K63" s="19" t="s">
        <v>301</v>
      </c>
      <c r="M63" s="19" t="s">
        <v>302</v>
      </c>
      <c r="P63" s="19" t="s">
        <v>303</v>
      </c>
      <c r="Q63" s="19" t="s">
        <v>304</v>
      </c>
      <c r="R63" s="19" t="s">
        <v>305</v>
      </c>
    </row>
    <row r="64" spans="2:18">
      <c r="B64" s="19" t="s">
        <v>285</v>
      </c>
    </row>
    <row r="65" spans="2:18">
      <c r="B65" s="19" t="s">
        <v>306</v>
      </c>
      <c r="C65" s="19" t="s">
        <v>307</v>
      </c>
      <c r="F65" s="19" t="s">
        <v>308</v>
      </c>
    </row>
    <row r="66" spans="2:18">
      <c r="B66" s="19" t="s">
        <v>309</v>
      </c>
      <c r="C66" s="19" t="s">
        <v>36</v>
      </c>
      <c r="D66" s="19" t="s">
        <v>310</v>
      </c>
      <c r="E66" s="19" t="s">
        <v>311</v>
      </c>
      <c r="F66" s="19" t="s">
        <v>312</v>
      </c>
      <c r="I66" s="19" t="s">
        <v>313</v>
      </c>
      <c r="K66" s="19" t="s">
        <v>314</v>
      </c>
      <c r="M66" s="19" t="s">
        <v>315</v>
      </c>
      <c r="P66" s="19" t="s">
        <v>316</v>
      </c>
      <c r="Q66" s="19" t="s">
        <v>317</v>
      </c>
      <c r="R66" s="19" t="s">
        <v>318</v>
      </c>
    </row>
    <row r="67" spans="2:18">
      <c r="B67" s="19" t="s">
        <v>16</v>
      </c>
    </row>
    <row r="68" spans="2:18">
      <c r="B68" s="19" t="s">
        <v>319</v>
      </c>
      <c r="F68" s="19" t="s">
        <v>320</v>
      </c>
      <c r="I68" s="19" t="s">
        <v>321</v>
      </c>
      <c r="K68" s="19" t="s">
        <v>322</v>
      </c>
      <c r="M68" s="19" t="s">
        <v>323</v>
      </c>
      <c r="P68" s="19" t="s">
        <v>324</v>
      </c>
      <c r="Q68" s="19" t="s">
        <v>325</v>
      </c>
      <c r="R68" s="19" t="s">
        <v>326</v>
      </c>
    </row>
    <row r="69" spans="2:18">
      <c r="B69" s="19" t="s">
        <v>306</v>
      </c>
    </row>
    <row r="70" spans="2:18">
      <c r="B70" s="19" t="s">
        <v>327</v>
      </c>
      <c r="C70" s="19" t="s">
        <v>328</v>
      </c>
      <c r="F70" s="19" t="s">
        <v>329</v>
      </c>
    </row>
    <row r="71" spans="2:18">
      <c r="B71" s="19" t="s">
        <v>330</v>
      </c>
      <c r="C71" s="19" t="s">
        <v>37</v>
      </c>
      <c r="D71" s="19" t="s">
        <v>331</v>
      </c>
      <c r="E71" s="19" t="s">
        <v>332</v>
      </c>
      <c r="F71" s="19" t="s">
        <v>333</v>
      </c>
      <c r="I71" s="19" t="s">
        <v>334</v>
      </c>
      <c r="K71" s="19" t="s">
        <v>335</v>
      </c>
      <c r="M71" s="19" t="s">
        <v>336</v>
      </c>
      <c r="P71" s="19" t="s">
        <v>337</v>
      </c>
      <c r="Q71" s="19" t="s">
        <v>338</v>
      </c>
      <c r="R71" s="19" t="s">
        <v>339</v>
      </c>
    </row>
    <row r="72" spans="2:18">
      <c r="B72" s="19" t="s">
        <v>16</v>
      </c>
    </row>
    <row r="73" spans="2:18">
      <c r="B73" s="19" t="s">
        <v>340</v>
      </c>
      <c r="F73" s="19" t="s">
        <v>341</v>
      </c>
      <c r="I73" s="19" t="s">
        <v>342</v>
      </c>
      <c r="K73" s="19" t="s">
        <v>343</v>
      </c>
      <c r="M73" s="19" t="s">
        <v>344</v>
      </c>
      <c r="P73" s="19" t="s">
        <v>345</v>
      </c>
      <c r="Q73" s="19" t="s">
        <v>346</v>
      </c>
      <c r="R73" s="19" t="s">
        <v>347</v>
      </c>
    </row>
    <row r="74" spans="2:18">
      <c r="B74" s="19" t="s">
        <v>327</v>
      </c>
    </row>
    <row r="75" spans="2:18">
      <c r="B75" s="19" t="s">
        <v>348</v>
      </c>
      <c r="C75" s="19" t="s">
        <v>349</v>
      </c>
      <c r="F75" s="19" t="s">
        <v>350</v>
      </c>
    </row>
    <row r="76" spans="2:18">
      <c r="B76" s="19" t="s">
        <v>351</v>
      </c>
      <c r="C76" s="19" t="s">
        <v>38</v>
      </c>
      <c r="D76" s="19" t="s">
        <v>352</v>
      </c>
      <c r="E76" s="19" t="s">
        <v>353</v>
      </c>
      <c r="F76" s="19" t="s">
        <v>354</v>
      </c>
      <c r="I76" s="19" t="s">
        <v>355</v>
      </c>
      <c r="K76" s="19" t="s">
        <v>356</v>
      </c>
      <c r="M76" s="19" t="s">
        <v>357</v>
      </c>
      <c r="P76" s="19" t="s">
        <v>358</v>
      </c>
      <c r="Q76" s="19" t="s">
        <v>359</v>
      </c>
      <c r="R76" s="19" t="s">
        <v>360</v>
      </c>
    </row>
    <row r="77" spans="2:18">
      <c r="B77" s="19" t="s">
        <v>16</v>
      </c>
    </row>
    <row r="78" spans="2:18">
      <c r="B78" s="19" t="s">
        <v>361</v>
      </c>
      <c r="F78" s="19" t="s">
        <v>362</v>
      </c>
      <c r="I78" s="19" t="s">
        <v>363</v>
      </c>
      <c r="K78" s="19" t="s">
        <v>364</v>
      </c>
      <c r="M78" s="19" t="s">
        <v>365</v>
      </c>
      <c r="P78" s="19" t="s">
        <v>366</v>
      </c>
      <c r="Q78" s="19" t="s">
        <v>367</v>
      </c>
      <c r="R78" s="19" t="s">
        <v>368</v>
      </c>
    </row>
    <row r="79" spans="2:18">
      <c r="B79" s="19" t="s">
        <v>348</v>
      </c>
    </row>
    <row r="80" spans="2:18">
      <c r="B80" s="19" t="s">
        <v>369</v>
      </c>
      <c r="C80" s="19" t="s">
        <v>370</v>
      </c>
      <c r="F80" s="19" t="s">
        <v>371</v>
      </c>
    </row>
    <row r="81" spans="2:18">
      <c r="B81" s="19" t="s">
        <v>372</v>
      </c>
      <c r="C81" s="19" t="s">
        <v>39</v>
      </c>
      <c r="D81" s="19" t="s">
        <v>373</v>
      </c>
      <c r="E81" s="19" t="s">
        <v>374</v>
      </c>
      <c r="F81" s="19" t="s">
        <v>375</v>
      </c>
      <c r="I81" s="19" t="s">
        <v>376</v>
      </c>
      <c r="K81" s="19" t="s">
        <v>377</v>
      </c>
      <c r="M81" s="19" t="s">
        <v>378</v>
      </c>
      <c r="P81" s="19" t="s">
        <v>379</v>
      </c>
      <c r="Q81" s="19" t="s">
        <v>380</v>
      </c>
      <c r="R81" s="19" t="s">
        <v>381</v>
      </c>
    </row>
    <row r="82" spans="2:18">
      <c r="B82" s="19" t="s">
        <v>16</v>
      </c>
    </row>
    <row r="83" spans="2:18">
      <c r="B83" s="19" t="s">
        <v>382</v>
      </c>
      <c r="F83" s="19" t="s">
        <v>383</v>
      </c>
      <c r="I83" s="19" t="s">
        <v>384</v>
      </c>
      <c r="K83" s="19" t="s">
        <v>385</v>
      </c>
      <c r="M83" s="19" t="s">
        <v>386</v>
      </c>
      <c r="P83" s="19" t="s">
        <v>387</v>
      </c>
      <c r="Q83" s="19" t="s">
        <v>388</v>
      </c>
      <c r="R83" s="19" t="s">
        <v>389</v>
      </c>
    </row>
    <row r="84" spans="2:18">
      <c r="B84" s="19" t="s">
        <v>369</v>
      </c>
    </row>
    <row r="85" spans="2:18">
      <c r="B85" s="19" t="s">
        <v>390</v>
      </c>
      <c r="C85" s="19" t="s">
        <v>391</v>
      </c>
      <c r="F85" s="19" t="s">
        <v>392</v>
      </c>
    </row>
    <row r="86" spans="2:18">
      <c r="B86" s="19" t="s">
        <v>393</v>
      </c>
      <c r="C86" s="19" t="s">
        <v>40</v>
      </c>
      <c r="D86" s="19" t="s">
        <v>394</v>
      </c>
      <c r="E86" s="19" t="s">
        <v>395</v>
      </c>
      <c r="F86" s="19" t="s">
        <v>396</v>
      </c>
      <c r="I86" s="19" t="s">
        <v>397</v>
      </c>
      <c r="K86" s="19" t="s">
        <v>398</v>
      </c>
      <c r="M86" s="19" t="s">
        <v>399</v>
      </c>
      <c r="P86" s="19" t="s">
        <v>400</v>
      </c>
      <c r="Q86" s="19" t="s">
        <v>401</v>
      </c>
      <c r="R86" s="19" t="s">
        <v>402</v>
      </c>
    </row>
    <row r="87" spans="2:18">
      <c r="B87" s="19" t="s">
        <v>16</v>
      </c>
    </row>
    <row r="88" spans="2:18">
      <c r="B88" s="19" t="s">
        <v>403</v>
      </c>
      <c r="F88" s="19" t="s">
        <v>404</v>
      </c>
      <c r="I88" s="19" t="s">
        <v>405</v>
      </c>
      <c r="K88" s="19" t="s">
        <v>406</v>
      </c>
      <c r="M88" s="19" t="s">
        <v>407</v>
      </c>
      <c r="P88" s="19" t="s">
        <v>408</v>
      </c>
      <c r="Q88" s="19" t="s">
        <v>409</v>
      </c>
      <c r="R88" s="19" t="s">
        <v>410</v>
      </c>
    </row>
    <row r="89" spans="2:18">
      <c r="B89" s="19" t="s">
        <v>390</v>
      </c>
    </row>
    <row r="90" spans="2:18">
      <c r="B90" s="19" t="s">
        <v>411</v>
      </c>
      <c r="C90" s="19" t="s">
        <v>412</v>
      </c>
      <c r="F90" s="19" t="s">
        <v>413</v>
      </c>
    </row>
    <row r="91" spans="2:18">
      <c r="B91" s="19" t="s">
        <v>414</v>
      </c>
      <c r="C91" s="19" t="s">
        <v>41</v>
      </c>
      <c r="D91" s="19" t="s">
        <v>415</v>
      </c>
      <c r="E91" s="19" t="s">
        <v>416</v>
      </c>
      <c r="F91" s="19" t="s">
        <v>417</v>
      </c>
      <c r="I91" s="19" t="s">
        <v>418</v>
      </c>
      <c r="K91" s="19" t="s">
        <v>419</v>
      </c>
      <c r="M91" s="19" t="s">
        <v>420</v>
      </c>
      <c r="P91" s="19" t="s">
        <v>421</v>
      </c>
      <c r="Q91" s="19" t="s">
        <v>422</v>
      </c>
      <c r="R91" s="19" t="s">
        <v>423</v>
      </c>
    </row>
    <row r="92" spans="2:18">
      <c r="B92" s="19" t="s">
        <v>16</v>
      </c>
    </row>
    <row r="93" spans="2:18">
      <c r="B93" s="19" t="s">
        <v>424</v>
      </c>
      <c r="F93" s="19" t="s">
        <v>425</v>
      </c>
      <c r="I93" s="19" t="s">
        <v>426</v>
      </c>
      <c r="K93" s="19" t="s">
        <v>427</v>
      </c>
      <c r="M93" s="19" t="s">
        <v>428</v>
      </c>
      <c r="P93" s="19" t="s">
        <v>429</v>
      </c>
      <c r="Q93" s="19" t="s">
        <v>430</v>
      </c>
      <c r="R93" s="19" t="s">
        <v>431</v>
      </c>
    </row>
    <row r="94" spans="2:18">
      <c r="B94" s="19" t="s">
        <v>411</v>
      </c>
    </row>
    <row r="95" spans="2:18">
      <c r="B95" s="19" t="s">
        <v>432</v>
      </c>
      <c r="C95" s="19" t="s">
        <v>433</v>
      </c>
      <c r="F95" s="19" t="s">
        <v>434</v>
      </c>
    </row>
    <row r="96" spans="2:18">
      <c r="B96" s="19" t="s">
        <v>435</v>
      </c>
      <c r="C96" s="19" t="s">
        <v>42</v>
      </c>
      <c r="D96" s="19" t="s">
        <v>436</v>
      </c>
      <c r="E96" s="19" t="s">
        <v>437</v>
      </c>
      <c r="F96" s="19" t="s">
        <v>438</v>
      </c>
      <c r="I96" s="19" t="s">
        <v>439</v>
      </c>
      <c r="K96" s="19" t="s">
        <v>440</v>
      </c>
      <c r="M96" s="19" t="s">
        <v>441</v>
      </c>
      <c r="P96" s="19" t="s">
        <v>442</v>
      </c>
      <c r="Q96" s="19" t="s">
        <v>443</v>
      </c>
      <c r="R96" s="19" t="s">
        <v>444</v>
      </c>
    </row>
    <row r="97" spans="2:18">
      <c r="B97" s="19" t="s">
        <v>16</v>
      </c>
    </row>
    <row r="98" spans="2:18">
      <c r="B98" s="19" t="s">
        <v>445</v>
      </c>
      <c r="F98" s="19" t="s">
        <v>446</v>
      </c>
      <c r="I98" s="19" t="s">
        <v>447</v>
      </c>
      <c r="K98" s="19" t="s">
        <v>448</v>
      </c>
      <c r="M98" s="19" t="s">
        <v>449</v>
      </c>
      <c r="P98" s="19" t="s">
        <v>450</v>
      </c>
      <c r="Q98" s="19" t="s">
        <v>451</v>
      </c>
      <c r="R98" s="19" t="s">
        <v>452</v>
      </c>
    </row>
    <row r="99" spans="2:18">
      <c r="B99" s="19" t="s">
        <v>432</v>
      </c>
    </row>
    <row r="100" spans="2:18">
      <c r="B100" s="19" t="s">
        <v>453</v>
      </c>
      <c r="C100" s="19" t="s">
        <v>454</v>
      </c>
      <c r="F100" s="19" t="s">
        <v>455</v>
      </c>
    </row>
    <row r="101" spans="2:18">
      <c r="B101" s="19" t="s">
        <v>456</v>
      </c>
      <c r="C101" s="19" t="s">
        <v>43</v>
      </c>
      <c r="D101" s="19" t="s">
        <v>457</v>
      </c>
      <c r="E101" s="19" t="s">
        <v>458</v>
      </c>
      <c r="F101" s="19" t="s">
        <v>459</v>
      </c>
      <c r="I101" s="19" t="s">
        <v>460</v>
      </c>
      <c r="K101" s="19" t="s">
        <v>461</v>
      </c>
      <c r="M101" s="19" t="s">
        <v>462</v>
      </c>
      <c r="P101" s="19" t="s">
        <v>463</v>
      </c>
      <c r="Q101" s="19" t="s">
        <v>464</v>
      </c>
      <c r="R101" s="19" t="s">
        <v>465</v>
      </c>
    </row>
    <row r="102" spans="2:18">
      <c r="B102" s="19" t="s">
        <v>16</v>
      </c>
    </row>
    <row r="103" spans="2:18">
      <c r="B103" s="19" t="s">
        <v>466</v>
      </c>
      <c r="F103" s="19" t="s">
        <v>467</v>
      </c>
      <c r="I103" s="19" t="s">
        <v>468</v>
      </c>
      <c r="K103" s="19" t="s">
        <v>469</v>
      </c>
      <c r="M103" s="19" t="s">
        <v>470</v>
      </c>
      <c r="P103" s="19" t="s">
        <v>471</v>
      </c>
      <c r="Q103" s="19" t="s">
        <v>472</v>
      </c>
      <c r="R103" s="19" t="s">
        <v>473</v>
      </c>
    </row>
    <row r="104" spans="2:18">
      <c r="B104" s="19" t="s">
        <v>453</v>
      </c>
    </row>
    <row r="105" spans="2:18">
      <c r="B105" s="19" t="s">
        <v>474</v>
      </c>
      <c r="C105" s="19" t="s">
        <v>475</v>
      </c>
      <c r="F105" s="19" t="s">
        <v>476</v>
      </c>
    </row>
    <row r="106" spans="2:18">
      <c r="B106" s="19" t="s">
        <v>477</v>
      </c>
      <c r="C106" s="19" t="s">
        <v>44</v>
      </c>
      <c r="D106" s="19" t="s">
        <v>478</v>
      </c>
      <c r="E106" s="19" t="s">
        <v>479</v>
      </c>
      <c r="F106" s="19" t="s">
        <v>480</v>
      </c>
      <c r="I106" s="19" t="s">
        <v>481</v>
      </c>
      <c r="K106" s="19" t="s">
        <v>482</v>
      </c>
      <c r="M106" s="19" t="s">
        <v>483</v>
      </c>
      <c r="P106" s="19" t="s">
        <v>484</v>
      </c>
      <c r="Q106" s="19" t="s">
        <v>485</v>
      </c>
      <c r="R106" s="19" t="s">
        <v>486</v>
      </c>
    </row>
    <row r="107" spans="2:18">
      <c r="B107" s="19" t="s">
        <v>16</v>
      </c>
    </row>
    <row r="108" spans="2:18">
      <c r="B108" s="19" t="s">
        <v>487</v>
      </c>
      <c r="F108" s="19" t="s">
        <v>488</v>
      </c>
      <c r="I108" s="19" t="s">
        <v>489</v>
      </c>
      <c r="K108" s="19" t="s">
        <v>490</v>
      </c>
      <c r="M108" s="19" t="s">
        <v>491</v>
      </c>
      <c r="P108" s="19" t="s">
        <v>492</v>
      </c>
      <c r="Q108" s="19" t="s">
        <v>493</v>
      </c>
      <c r="R108" s="19" t="s">
        <v>494</v>
      </c>
    </row>
    <row r="109" spans="2:18">
      <c r="B109" s="19" t="s">
        <v>474</v>
      </c>
    </row>
    <row r="110" spans="2:18">
      <c r="B110" s="19" t="s">
        <v>495</v>
      </c>
      <c r="F110" s="19" t="s">
        <v>45</v>
      </c>
      <c r="I110" s="19" t="s">
        <v>496</v>
      </c>
      <c r="K110" s="19" t="s">
        <v>497</v>
      </c>
      <c r="M110" s="19" t="s">
        <v>498</v>
      </c>
      <c r="P110" s="19" t="s">
        <v>85</v>
      </c>
      <c r="Q110" s="19" t="s">
        <v>86</v>
      </c>
      <c r="R110" s="19" t="s">
        <v>499</v>
      </c>
    </row>
    <row r="111" spans="2:18">
      <c r="B111" s="19" t="s">
        <v>16</v>
      </c>
    </row>
    <row r="113" spans="2:18">
      <c r="F113" s="19" t="s">
        <v>46</v>
      </c>
    </row>
    <row r="115" spans="2:18">
      <c r="B115" s="19" t="s">
        <v>500</v>
      </c>
      <c r="C115" s="19" t="s">
        <v>501</v>
      </c>
      <c r="F115" s="19" t="s">
        <v>502</v>
      </c>
    </row>
    <row r="116" spans="2:18">
      <c r="B116" s="19" t="s">
        <v>503</v>
      </c>
      <c r="C116" s="19" t="s">
        <v>47</v>
      </c>
      <c r="D116" s="19" t="s">
        <v>504</v>
      </c>
      <c r="E116" s="19" t="s">
        <v>505</v>
      </c>
      <c r="F116" s="19" t="s">
        <v>506</v>
      </c>
      <c r="I116" s="19" t="s">
        <v>507</v>
      </c>
      <c r="K116" s="19" t="s">
        <v>508</v>
      </c>
      <c r="M116" s="19" t="s">
        <v>509</v>
      </c>
      <c r="P116" s="19" t="s">
        <v>510</v>
      </c>
      <c r="Q116" s="19" t="s">
        <v>511</v>
      </c>
      <c r="R116" s="19" t="s">
        <v>512</v>
      </c>
    </row>
    <row r="117" spans="2:18">
      <c r="B117" s="19" t="s">
        <v>16</v>
      </c>
    </row>
    <row r="118" spans="2:18">
      <c r="B118" s="19" t="s">
        <v>513</v>
      </c>
      <c r="F118" s="19" t="s">
        <v>514</v>
      </c>
      <c r="I118" s="19" t="s">
        <v>515</v>
      </c>
      <c r="K118" s="19" t="s">
        <v>516</v>
      </c>
      <c r="M118" s="19" t="s">
        <v>517</v>
      </c>
      <c r="P118" s="19" t="s">
        <v>518</v>
      </c>
      <c r="Q118" s="19" t="s">
        <v>519</v>
      </c>
      <c r="R118" s="19" t="s">
        <v>520</v>
      </c>
    </row>
    <row r="119" spans="2:18">
      <c r="B119" s="19" t="s">
        <v>500</v>
      </c>
    </row>
    <row r="120" spans="2:18">
      <c r="B120" s="19" t="s">
        <v>521</v>
      </c>
      <c r="C120" s="19" t="s">
        <v>522</v>
      </c>
      <c r="F120" s="19" t="s">
        <v>523</v>
      </c>
    </row>
    <row r="121" spans="2:18">
      <c r="B121" s="19" t="s">
        <v>524</v>
      </c>
      <c r="C121" s="19" t="s">
        <v>48</v>
      </c>
      <c r="D121" s="19" t="s">
        <v>525</v>
      </c>
      <c r="E121" s="19" t="s">
        <v>526</v>
      </c>
      <c r="F121" s="19" t="s">
        <v>527</v>
      </c>
      <c r="I121" s="19" t="s">
        <v>528</v>
      </c>
      <c r="K121" s="19" t="s">
        <v>529</v>
      </c>
      <c r="M121" s="19" t="s">
        <v>530</v>
      </c>
      <c r="P121" s="19" t="s">
        <v>531</v>
      </c>
      <c r="Q121" s="19" t="s">
        <v>532</v>
      </c>
      <c r="R121" s="19" t="s">
        <v>533</v>
      </c>
    </row>
    <row r="122" spans="2:18">
      <c r="B122" s="19" t="s">
        <v>16</v>
      </c>
    </row>
    <row r="123" spans="2:18">
      <c r="B123" s="19" t="s">
        <v>534</v>
      </c>
      <c r="F123" s="19" t="s">
        <v>535</v>
      </c>
      <c r="I123" s="19" t="s">
        <v>536</v>
      </c>
      <c r="K123" s="19" t="s">
        <v>537</v>
      </c>
      <c r="M123" s="19" t="s">
        <v>538</v>
      </c>
      <c r="P123" s="19" t="s">
        <v>539</v>
      </c>
      <c r="Q123" s="19" t="s">
        <v>540</v>
      </c>
      <c r="R123" s="19" t="s">
        <v>541</v>
      </c>
    </row>
    <row r="124" spans="2:18">
      <c r="B124" s="19" t="s">
        <v>521</v>
      </c>
    </row>
    <row r="125" spans="2:18">
      <c r="B125" s="19" t="s">
        <v>542</v>
      </c>
      <c r="C125" s="19" t="s">
        <v>543</v>
      </c>
      <c r="F125" s="19" t="s">
        <v>544</v>
      </c>
    </row>
    <row r="126" spans="2:18">
      <c r="B126" s="19" t="s">
        <v>545</v>
      </c>
      <c r="C126" s="19" t="s">
        <v>49</v>
      </c>
      <c r="D126" s="19" t="s">
        <v>546</v>
      </c>
      <c r="E126" s="19" t="s">
        <v>547</v>
      </c>
      <c r="F126" s="19" t="s">
        <v>548</v>
      </c>
      <c r="I126" s="19" t="s">
        <v>549</v>
      </c>
      <c r="K126" s="19" t="s">
        <v>550</v>
      </c>
      <c r="M126" s="19" t="s">
        <v>551</v>
      </c>
      <c r="P126" s="19" t="s">
        <v>552</v>
      </c>
      <c r="Q126" s="19" t="s">
        <v>553</v>
      </c>
      <c r="R126" s="19" t="s">
        <v>554</v>
      </c>
    </row>
    <row r="127" spans="2:18">
      <c r="B127" s="19" t="s">
        <v>16</v>
      </c>
    </row>
    <row r="128" spans="2:18">
      <c r="B128" s="19" t="s">
        <v>555</v>
      </c>
      <c r="F128" s="19" t="s">
        <v>556</v>
      </c>
      <c r="I128" s="19" t="s">
        <v>557</v>
      </c>
      <c r="K128" s="19" t="s">
        <v>558</v>
      </c>
      <c r="M128" s="19" t="s">
        <v>559</v>
      </c>
      <c r="P128" s="19" t="s">
        <v>560</v>
      </c>
      <c r="Q128" s="19" t="s">
        <v>561</v>
      </c>
      <c r="R128" s="19" t="s">
        <v>562</v>
      </c>
    </row>
    <row r="129" spans="2:18">
      <c r="B129" s="19" t="s">
        <v>542</v>
      </c>
    </row>
    <row r="130" spans="2:18">
      <c r="B130" s="19" t="s">
        <v>563</v>
      </c>
      <c r="C130" s="19" t="s">
        <v>564</v>
      </c>
      <c r="F130" s="19" t="s">
        <v>565</v>
      </c>
    </row>
    <row r="131" spans="2:18">
      <c r="B131" s="19" t="s">
        <v>566</v>
      </c>
      <c r="C131" s="19" t="s">
        <v>50</v>
      </c>
      <c r="D131" s="19" t="s">
        <v>567</v>
      </c>
      <c r="E131" s="19" t="s">
        <v>568</v>
      </c>
      <c r="F131" s="19" t="s">
        <v>569</v>
      </c>
      <c r="I131" s="19" t="s">
        <v>570</v>
      </c>
      <c r="K131" s="19" t="s">
        <v>571</v>
      </c>
      <c r="M131" s="19" t="s">
        <v>572</v>
      </c>
      <c r="P131" s="19" t="s">
        <v>573</v>
      </c>
      <c r="Q131" s="19" t="s">
        <v>574</v>
      </c>
      <c r="R131" s="19" t="s">
        <v>575</v>
      </c>
    </row>
    <row r="132" spans="2:18">
      <c r="B132" s="19" t="s">
        <v>16</v>
      </c>
    </row>
    <row r="133" spans="2:18">
      <c r="B133" s="19" t="s">
        <v>576</v>
      </c>
      <c r="F133" s="19" t="s">
        <v>577</v>
      </c>
      <c r="I133" s="19" t="s">
        <v>578</v>
      </c>
      <c r="K133" s="19" t="s">
        <v>579</v>
      </c>
      <c r="M133" s="19" t="s">
        <v>580</v>
      </c>
      <c r="P133" s="19" t="s">
        <v>581</v>
      </c>
      <c r="Q133" s="19" t="s">
        <v>582</v>
      </c>
      <c r="R133" s="19" t="s">
        <v>583</v>
      </c>
    </row>
    <row r="134" spans="2:18">
      <c r="B134" s="19" t="s">
        <v>563</v>
      </c>
    </row>
    <row r="135" spans="2:18">
      <c r="B135" s="19" t="s">
        <v>584</v>
      </c>
      <c r="C135" s="19" t="s">
        <v>585</v>
      </c>
      <c r="F135" s="19" t="s">
        <v>586</v>
      </c>
    </row>
    <row r="136" spans="2:18">
      <c r="B136" s="19" t="s">
        <v>587</v>
      </c>
      <c r="C136" s="19" t="s">
        <v>51</v>
      </c>
      <c r="D136" s="19" t="s">
        <v>588</v>
      </c>
      <c r="E136" s="19" t="s">
        <v>589</v>
      </c>
      <c r="F136" s="19" t="s">
        <v>590</v>
      </c>
      <c r="I136" s="19" t="s">
        <v>591</v>
      </c>
      <c r="K136" s="19" t="s">
        <v>592</v>
      </c>
      <c r="M136" s="19" t="s">
        <v>593</v>
      </c>
      <c r="P136" s="19" t="s">
        <v>594</v>
      </c>
      <c r="Q136" s="19" t="s">
        <v>595</v>
      </c>
      <c r="R136" s="19" t="s">
        <v>596</v>
      </c>
    </row>
    <row r="137" spans="2:18">
      <c r="B137" s="19" t="s">
        <v>16</v>
      </c>
    </row>
    <row r="138" spans="2:18">
      <c r="B138" s="19" t="s">
        <v>597</v>
      </c>
      <c r="F138" s="19" t="s">
        <v>598</v>
      </c>
      <c r="I138" s="19" t="s">
        <v>599</v>
      </c>
      <c r="K138" s="19" t="s">
        <v>600</v>
      </c>
      <c r="M138" s="19" t="s">
        <v>601</v>
      </c>
      <c r="P138" s="19" t="s">
        <v>602</v>
      </c>
      <c r="Q138" s="19" t="s">
        <v>603</v>
      </c>
      <c r="R138" s="19" t="s">
        <v>604</v>
      </c>
    </row>
    <row r="139" spans="2:18">
      <c r="B139" s="19" t="s">
        <v>17</v>
      </c>
    </row>
    <row r="140" spans="2:18">
      <c r="B140" s="19" t="s">
        <v>605</v>
      </c>
      <c r="C140" s="19" t="s">
        <v>606</v>
      </c>
      <c r="F140" s="19" t="s">
        <v>607</v>
      </c>
    </row>
    <row r="141" spans="2:18">
      <c r="B141" s="19" t="s">
        <v>608</v>
      </c>
      <c r="C141" s="19" t="s">
        <v>52</v>
      </c>
      <c r="D141" s="19" t="s">
        <v>609</v>
      </c>
      <c r="E141" s="19" t="s">
        <v>610</v>
      </c>
      <c r="F141" s="19" t="s">
        <v>611</v>
      </c>
      <c r="I141" s="19" t="s">
        <v>612</v>
      </c>
      <c r="K141" s="19" t="s">
        <v>613</v>
      </c>
      <c r="M141" s="19" t="s">
        <v>614</v>
      </c>
      <c r="P141" s="19" t="s">
        <v>615</v>
      </c>
      <c r="Q141" s="19" t="s">
        <v>616</v>
      </c>
      <c r="R141" s="19" t="s">
        <v>617</v>
      </c>
    </row>
    <row r="142" spans="2:18">
      <c r="B142" s="19" t="s">
        <v>16</v>
      </c>
    </row>
    <row r="143" spans="2:18">
      <c r="B143" s="19" t="s">
        <v>618</v>
      </c>
      <c r="F143" s="19" t="s">
        <v>619</v>
      </c>
      <c r="I143" s="19" t="s">
        <v>620</v>
      </c>
      <c r="K143" s="19" t="s">
        <v>621</v>
      </c>
      <c r="M143" s="19" t="s">
        <v>622</v>
      </c>
      <c r="P143" s="19" t="s">
        <v>623</v>
      </c>
      <c r="Q143" s="19" t="s">
        <v>624</v>
      </c>
      <c r="R143" s="19" t="s">
        <v>625</v>
      </c>
    </row>
    <row r="145" spans="2:18">
      <c r="B145" s="19" t="s">
        <v>626</v>
      </c>
      <c r="F145" s="19" t="s">
        <v>53</v>
      </c>
      <c r="I145" s="19" t="s">
        <v>627</v>
      </c>
      <c r="K145" s="19" t="s">
        <v>628</v>
      </c>
      <c r="M145" s="19" t="s">
        <v>629</v>
      </c>
      <c r="P145" s="19" t="s">
        <v>630</v>
      </c>
      <c r="Q145" s="19" t="s">
        <v>631</v>
      </c>
      <c r="R145" s="19" t="s">
        <v>632</v>
      </c>
    </row>
    <row r="146" spans="2:18">
      <c r="B146" s="19" t="s">
        <v>605</v>
      </c>
    </row>
    <row r="147" spans="2:18">
      <c r="B147" s="19" t="s">
        <v>633</v>
      </c>
      <c r="C147" s="19" t="s">
        <v>634</v>
      </c>
      <c r="F147" s="19" t="s">
        <v>54</v>
      </c>
    </row>
    <row r="148" spans="2:18">
      <c r="B148" s="19" t="s">
        <v>635</v>
      </c>
      <c r="C148" s="19" t="s">
        <v>55</v>
      </c>
      <c r="D148" s="19" t="s">
        <v>636</v>
      </c>
      <c r="E148" s="19" t="s">
        <v>637</v>
      </c>
      <c r="F148" s="19" t="s">
        <v>638</v>
      </c>
      <c r="I148" s="19" t="s">
        <v>639</v>
      </c>
      <c r="K148" s="19" t="s">
        <v>640</v>
      </c>
      <c r="M148" s="19" t="s">
        <v>641</v>
      </c>
      <c r="P148" s="19" t="s">
        <v>642</v>
      </c>
      <c r="Q148" s="19" t="s">
        <v>643</v>
      </c>
      <c r="R148" s="19" t="s">
        <v>644</v>
      </c>
    </row>
    <row r="149" spans="2:18">
      <c r="B149" s="19" t="s">
        <v>16</v>
      </c>
    </row>
    <row r="150" spans="2:18">
      <c r="B150" s="19" t="s">
        <v>645</v>
      </c>
      <c r="F150" s="19" t="s">
        <v>646</v>
      </c>
      <c r="I150" s="19" t="s">
        <v>647</v>
      </c>
      <c r="K150" s="19" t="s">
        <v>648</v>
      </c>
      <c r="M150" s="19" t="s">
        <v>649</v>
      </c>
      <c r="P150" s="19" t="s">
        <v>650</v>
      </c>
      <c r="Q150" s="19" t="s">
        <v>651</v>
      </c>
      <c r="R150" s="19" t="s">
        <v>652</v>
      </c>
    </row>
    <row r="151" spans="2:18">
      <c r="B151" s="19" t="s">
        <v>633</v>
      </c>
    </row>
    <row r="152" spans="2:18">
      <c r="B152" s="19" t="s">
        <v>653</v>
      </c>
      <c r="C152" s="19" t="s">
        <v>654</v>
      </c>
      <c r="F152" s="19" t="s">
        <v>655</v>
      </c>
    </row>
    <row r="153" spans="2:18">
      <c r="B153" s="19" t="s">
        <v>656</v>
      </c>
      <c r="C153" s="19" t="s">
        <v>56</v>
      </c>
      <c r="D153" s="19" t="s">
        <v>657</v>
      </c>
      <c r="E153" s="19" t="s">
        <v>658</v>
      </c>
      <c r="F153" s="19" t="s">
        <v>659</v>
      </c>
      <c r="I153" s="19" t="s">
        <v>660</v>
      </c>
      <c r="K153" s="19" t="s">
        <v>661</v>
      </c>
      <c r="M153" s="19" t="s">
        <v>662</v>
      </c>
      <c r="P153" s="19" t="s">
        <v>663</v>
      </c>
      <c r="Q153" s="19" t="s">
        <v>664</v>
      </c>
      <c r="R153" s="19" t="s">
        <v>665</v>
      </c>
    </row>
    <row r="154" spans="2:18">
      <c r="B154" s="19" t="s">
        <v>16</v>
      </c>
    </row>
    <row r="155" spans="2:18">
      <c r="B155" s="19" t="s">
        <v>666</v>
      </c>
      <c r="F155" s="19" t="s">
        <v>667</v>
      </c>
      <c r="I155" s="19" t="s">
        <v>668</v>
      </c>
      <c r="K155" s="19" t="s">
        <v>669</v>
      </c>
      <c r="M155" s="19" t="s">
        <v>670</v>
      </c>
      <c r="P155" s="19" t="s">
        <v>671</v>
      </c>
      <c r="Q155" s="19" t="s">
        <v>672</v>
      </c>
      <c r="R155" s="19" t="s">
        <v>673</v>
      </c>
    </row>
    <row r="156" spans="2:18">
      <c r="B156" s="19" t="s">
        <v>653</v>
      </c>
    </row>
    <row r="157" spans="2:18">
      <c r="B157" s="19" t="s">
        <v>674</v>
      </c>
      <c r="C157" s="19" t="s">
        <v>675</v>
      </c>
      <c r="F157" s="19" t="s">
        <v>676</v>
      </c>
    </row>
    <row r="158" spans="2:18">
      <c r="B158" s="19" t="s">
        <v>677</v>
      </c>
      <c r="C158" s="19" t="s">
        <v>57</v>
      </c>
      <c r="D158" s="19" t="s">
        <v>678</v>
      </c>
      <c r="E158" s="19" t="s">
        <v>679</v>
      </c>
      <c r="F158" s="19" t="s">
        <v>680</v>
      </c>
      <c r="I158" s="19" t="s">
        <v>681</v>
      </c>
      <c r="K158" s="19" t="s">
        <v>682</v>
      </c>
      <c r="M158" s="19" t="s">
        <v>683</v>
      </c>
      <c r="P158" s="19" t="s">
        <v>684</v>
      </c>
      <c r="Q158" s="19" t="s">
        <v>685</v>
      </c>
      <c r="R158" s="19" t="s">
        <v>686</v>
      </c>
    </row>
    <row r="159" spans="2:18">
      <c r="B159" s="19" t="s">
        <v>16</v>
      </c>
    </row>
    <row r="160" spans="2:18">
      <c r="B160" s="19" t="s">
        <v>687</v>
      </c>
      <c r="F160" s="19" t="s">
        <v>688</v>
      </c>
      <c r="I160" s="19" t="s">
        <v>689</v>
      </c>
      <c r="K160" s="19" t="s">
        <v>690</v>
      </c>
      <c r="M160" s="19" t="s">
        <v>691</v>
      </c>
      <c r="P160" s="19" t="s">
        <v>692</v>
      </c>
      <c r="Q160" s="19" t="s">
        <v>693</v>
      </c>
      <c r="R160" s="19" t="s">
        <v>694</v>
      </c>
    </row>
    <row r="161" spans="2:18">
      <c r="B161" s="19" t="s">
        <v>674</v>
      </c>
    </row>
    <row r="162" spans="2:18">
      <c r="B162" s="19" t="s">
        <v>695</v>
      </c>
      <c r="F162" s="19" t="s">
        <v>58</v>
      </c>
      <c r="I162" s="19" t="s">
        <v>696</v>
      </c>
      <c r="K162" s="19" t="s">
        <v>697</v>
      </c>
      <c r="M162" s="19" t="s">
        <v>698</v>
      </c>
      <c r="P162" s="19" t="s">
        <v>699</v>
      </c>
      <c r="Q162" s="19" t="s">
        <v>700</v>
      </c>
      <c r="R162" s="19" t="s">
        <v>701</v>
      </c>
    </row>
    <row r="164" spans="2:18">
      <c r="B164" s="19" t="s">
        <v>702</v>
      </c>
      <c r="C164" s="19" t="s">
        <v>703</v>
      </c>
      <c r="F164" s="19" t="s">
        <v>704</v>
      </c>
    </row>
    <row r="165" spans="2:18">
      <c r="B165" s="19" t="s">
        <v>705</v>
      </c>
      <c r="C165" s="19" t="s">
        <v>59</v>
      </c>
      <c r="D165" s="19" t="s">
        <v>706</v>
      </c>
      <c r="E165" s="19" t="s">
        <v>707</v>
      </c>
      <c r="F165" s="19" t="s">
        <v>708</v>
      </c>
      <c r="I165" s="19" t="s">
        <v>709</v>
      </c>
      <c r="K165" s="19" t="s">
        <v>710</v>
      </c>
      <c r="M165" s="19" t="s">
        <v>711</v>
      </c>
      <c r="P165" s="19" t="s">
        <v>712</v>
      </c>
      <c r="Q165" s="19" t="s">
        <v>713</v>
      </c>
      <c r="R165" s="19" t="s">
        <v>714</v>
      </c>
    </row>
    <row r="166" spans="2:18">
      <c r="B166" s="19" t="s">
        <v>16</v>
      </c>
    </row>
    <row r="167" spans="2:18">
      <c r="B167" s="19" t="s">
        <v>715</v>
      </c>
      <c r="F167" s="19" t="s">
        <v>716</v>
      </c>
      <c r="I167" s="19" t="s">
        <v>717</v>
      </c>
      <c r="K167" s="19" t="s">
        <v>718</v>
      </c>
      <c r="M167" s="19" t="s">
        <v>719</v>
      </c>
      <c r="P167" s="19" t="s">
        <v>720</v>
      </c>
      <c r="Q167" s="19" t="s">
        <v>721</v>
      </c>
      <c r="R167" s="19" t="s">
        <v>722</v>
      </c>
    </row>
    <row r="168" spans="2:18">
      <c r="B168" s="19" t="s">
        <v>702</v>
      </c>
    </row>
    <row r="169" spans="2:18">
      <c r="B169" s="19" t="s">
        <v>723</v>
      </c>
      <c r="C169" s="19" t="s">
        <v>724</v>
      </c>
      <c r="F169" s="19" t="s">
        <v>725</v>
      </c>
    </row>
    <row r="170" spans="2:18">
      <c r="B170" s="19" t="s">
        <v>726</v>
      </c>
      <c r="C170" s="19" t="s">
        <v>60</v>
      </c>
      <c r="D170" s="19" t="s">
        <v>727</v>
      </c>
      <c r="E170" s="19" t="s">
        <v>728</v>
      </c>
      <c r="F170" s="19" t="s">
        <v>729</v>
      </c>
      <c r="I170" s="19" t="s">
        <v>730</v>
      </c>
      <c r="K170" s="19" t="s">
        <v>731</v>
      </c>
      <c r="M170" s="19" t="s">
        <v>732</v>
      </c>
      <c r="P170" s="19" t="s">
        <v>733</v>
      </c>
      <c r="Q170" s="19" t="s">
        <v>734</v>
      </c>
      <c r="R170" s="19" t="s">
        <v>735</v>
      </c>
    </row>
    <row r="171" spans="2:18">
      <c r="B171" s="19" t="s">
        <v>16</v>
      </c>
    </row>
    <row r="172" spans="2:18">
      <c r="B172" s="19" t="s">
        <v>736</v>
      </c>
      <c r="F172" s="19" t="s">
        <v>737</v>
      </c>
      <c r="I172" s="19" t="s">
        <v>738</v>
      </c>
      <c r="K172" s="19" t="s">
        <v>739</v>
      </c>
      <c r="M172" s="19" t="s">
        <v>740</v>
      </c>
      <c r="P172" s="19" t="s">
        <v>741</v>
      </c>
      <c r="Q172" s="19" t="s">
        <v>742</v>
      </c>
      <c r="R172" s="19" t="s">
        <v>743</v>
      </c>
    </row>
    <row r="173" spans="2:18">
      <c r="B173" s="19" t="s">
        <v>723</v>
      </c>
    </row>
    <row r="174" spans="2:18">
      <c r="B174" s="19" t="s">
        <v>744</v>
      </c>
      <c r="C174" s="19" t="s">
        <v>745</v>
      </c>
      <c r="F174" s="19" t="s">
        <v>746</v>
      </c>
    </row>
    <row r="175" spans="2:18">
      <c r="B175" s="19" t="s">
        <v>747</v>
      </c>
      <c r="C175" s="19" t="s">
        <v>61</v>
      </c>
      <c r="D175" s="19" t="s">
        <v>748</v>
      </c>
      <c r="E175" s="19" t="s">
        <v>749</v>
      </c>
      <c r="F175" s="19" t="s">
        <v>750</v>
      </c>
      <c r="I175" s="19" t="s">
        <v>751</v>
      </c>
      <c r="K175" s="19" t="s">
        <v>752</v>
      </c>
      <c r="M175" s="19" t="s">
        <v>753</v>
      </c>
      <c r="P175" s="19" t="s">
        <v>754</v>
      </c>
      <c r="Q175" s="19" t="s">
        <v>755</v>
      </c>
      <c r="R175" s="19" t="s">
        <v>756</v>
      </c>
    </row>
    <row r="176" spans="2:18">
      <c r="B176" s="19" t="s">
        <v>16</v>
      </c>
    </row>
    <row r="177" spans="2:18">
      <c r="B177" s="19" t="s">
        <v>757</v>
      </c>
      <c r="F177" s="19" t="s">
        <v>758</v>
      </c>
      <c r="I177" s="19" t="s">
        <v>759</v>
      </c>
      <c r="K177" s="19" t="s">
        <v>760</v>
      </c>
      <c r="M177" s="19" t="s">
        <v>761</v>
      </c>
      <c r="P177" s="19" t="s">
        <v>762</v>
      </c>
      <c r="Q177" s="19" t="s">
        <v>763</v>
      </c>
      <c r="R177" s="19" t="s">
        <v>764</v>
      </c>
    </row>
    <row r="178" spans="2:18">
      <c r="B178" s="19" t="s">
        <v>744</v>
      </c>
    </row>
    <row r="179" spans="2:18">
      <c r="B179" s="19" t="s">
        <v>765</v>
      </c>
      <c r="C179" s="19" t="s">
        <v>766</v>
      </c>
      <c r="F179" s="19" t="s">
        <v>767</v>
      </c>
    </row>
    <row r="180" spans="2:18">
      <c r="B180" s="19" t="s">
        <v>768</v>
      </c>
      <c r="C180" s="19" t="s">
        <v>62</v>
      </c>
      <c r="D180" s="19" t="s">
        <v>769</v>
      </c>
      <c r="E180" s="19" t="s">
        <v>770</v>
      </c>
      <c r="F180" s="19" t="s">
        <v>771</v>
      </c>
      <c r="I180" s="19" t="s">
        <v>772</v>
      </c>
      <c r="K180" s="19" t="s">
        <v>773</v>
      </c>
      <c r="M180" s="19" t="s">
        <v>774</v>
      </c>
      <c r="P180" s="19" t="s">
        <v>775</v>
      </c>
      <c r="Q180" s="19" t="s">
        <v>776</v>
      </c>
      <c r="R180" s="19" t="s">
        <v>777</v>
      </c>
    </row>
    <row r="181" spans="2:18">
      <c r="B181" s="19" t="s">
        <v>16</v>
      </c>
    </row>
    <row r="182" spans="2:18">
      <c r="B182" s="19" t="s">
        <v>778</v>
      </c>
      <c r="F182" s="19" t="s">
        <v>779</v>
      </c>
      <c r="I182" s="19" t="s">
        <v>780</v>
      </c>
      <c r="K182" s="19" t="s">
        <v>781</v>
      </c>
      <c r="M182" s="19" t="s">
        <v>782</v>
      </c>
      <c r="P182" s="19" t="s">
        <v>783</v>
      </c>
      <c r="Q182" s="19" t="s">
        <v>784</v>
      </c>
      <c r="R182" s="19" t="s">
        <v>785</v>
      </c>
    </row>
    <row r="183" spans="2:18">
      <c r="B183" s="19" t="s">
        <v>765</v>
      </c>
    </row>
    <row r="184" spans="2:18">
      <c r="B184" s="19" t="s">
        <v>786</v>
      </c>
      <c r="C184" s="19" t="s">
        <v>787</v>
      </c>
      <c r="F184" s="19" t="s">
        <v>788</v>
      </c>
    </row>
    <row r="185" spans="2:18">
      <c r="B185" s="19" t="s">
        <v>789</v>
      </c>
      <c r="C185" s="19" t="s">
        <v>63</v>
      </c>
      <c r="D185" s="19" t="s">
        <v>790</v>
      </c>
      <c r="E185" s="19" t="s">
        <v>791</v>
      </c>
      <c r="F185" s="19" t="s">
        <v>792</v>
      </c>
      <c r="I185" s="19" t="s">
        <v>793</v>
      </c>
      <c r="K185" s="19" t="s">
        <v>794</v>
      </c>
      <c r="M185" s="19" t="s">
        <v>795</v>
      </c>
      <c r="P185" s="19" t="s">
        <v>796</v>
      </c>
      <c r="Q185" s="19" t="s">
        <v>797</v>
      </c>
      <c r="R185" s="19" t="s">
        <v>798</v>
      </c>
    </row>
    <row r="186" spans="2:18">
      <c r="B186" s="19" t="s">
        <v>16</v>
      </c>
    </row>
    <row r="187" spans="2:18">
      <c r="B187" s="19" t="s">
        <v>799</v>
      </c>
      <c r="F187" s="19" t="s">
        <v>800</v>
      </c>
      <c r="I187" s="19" t="s">
        <v>801</v>
      </c>
      <c r="K187" s="19" t="s">
        <v>802</v>
      </c>
      <c r="M187" s="19" t="s">
        <v>803</v>
      </c>
      <c r="P187" s="19" t="s">
        <v>804</v>
      </c>
      <c r="Q187" s="19" t="s">
        <v>805</v>
      </c>
      <c r="R187" s="19" t="s">
        <v>806</v>
      </c>
    </row>
    <row r="188" spans="2:18">
      <c r="B188" s="19" t="s">
        <v>786</v>
      </c>
    </row>
    <row r="189" spans="2:18">
      <c r="B189" s="19" t="s">
        <v>807</v>
      </c>
      <c r="F189" s="19" t="s">
        <v>64</v>
      </c>
      <c r="I189" s="19" t="s">
        <v>808</v>
      </c>
      <c r="K189" s="19" t="s">
        <v>809</v>
      </c>
      <c r="M189" s="19" t="s">
        <v>810</v>
      </c>
      <c r="P189" s="19" t="s">
        <v>89</v>
      </c>
      <c r="Q189" s="19" t="s">
        <v>90</v>
      </c>
      <c r="R189" s="19" t="s">
        <v>811</v>
      </c>
    </row>
    <row r="191" spans="2:18">
      <c r="B191" s="19" t="s">
        <v>17</v>
      </c>
      <c r="F191" s="19" t="s">
        <v>65</v>
      </c>
      <c r="I191" s="19" t="s">
        <v>812</v>
      </c>
      <c r="K191" s="19" t="s">
        <v>813</v>
      </c>
      <c r="M191" s="19" t="s">
        <v>814</v>
      </c>
      <c r="P191" s="19" t="s">
        <v>815</v>
      </c>
      <c r="Q191" s="19" t="s">
        <v>816</v>
      </c>
      <c r="R191" s="19" t="s">
        <v>817</v>
      </c>
    </row>
    <row r="194" spans="2:18">
      <c r="B194" s="19" t="s">
        <v>818</v>
      </c>
    </row>
    <row r="195" spans="2:18">
      <c r="B195" s="19" t="s">
        <v>819</v>
      </c>
      <c r="F195" s="19" t="s">
        <v>66</v>
      </c>
      <c r="P195" s="19" t="s">
        <v>820</v>
      </c>
      <c r="Q195" s="19" t="s">
        <v>821</v>
      </c>
      <c r="R195" s="19" t="s">
        <v>822</v>
      </c>
    </row>
    <row r="196" spans="2:18">
      <c r="B196" s="19" t="s">
        <v>818</v>
      </c>
    </row>
    <row r="197" spans="2:18">
      <c r="B197" s="19" t="s">
        <v>823</v>
      </c>
      <c r="F197" s="19" t="s">
        <v>67</v>
      </c>
    </row>
    <row r="198" spans="2:18">
      <c r="B198" s="19" t="s">
        <v>824</v>
      </c>
      <c r="C198" s="19" t="s">
        <v>68</v>
      </c>
      <c r="D198" s="19" t="s">
        <v>825</v>
      </c>
      <c r="E198" s="19" t="s">
        <v>826</v>
      </c>
      <c r="F198" s="19" t="s">
        <v>827</v>
      </c>
      <c r="I198" s="19" t="s">
        <v>828</v>
      </c>
      <c r="K198" s="19" t="s">
        <v>829</v>
      </c>
      <c r="M198" s="19" t="s">
        <v>830</v>
      </c>
      <c r="P198" s="19" t="s">
        <v>831</v>
      </c>
      <c r="Q198" s="19" t="s">
        <v>832</v>
      </c>
      <c r="R198" s="19" t="s">
        <v>833</v>
      </c>
    </row>
    <row r="199" spans="2:18">
      <c r="B199" s="19" t="s">
        <v>16</v>
      </c>
    </row>
    <row r="200" spans="2:18">
      <c r="B200" s="19" t="s">
        <v>834</v>
      </c>
      <c r="F200" s="19" t="s">
        <v>835</v>
      </c>
      <c r="I200" s="19" t="s">
        <v>836</v>
      </c>
      <c r="K200" s="19" t="s">
        <v>837</v>
      </c>
      <c r="M200" s="19" t="s">
        <v>838</v>
      </c>
      <c r="P200" s="19" t="s">
        <v>839</v>
      </c>
      <c r="Q200" s="19" t="s">
        <v>840</v>
      </c>
      <c r="R200" s="19" t="s">
        <v>841</v>
      </c>
    </row>
    <row r="201" spans="2:18">
      <c r="B201" s="19" t="s">
        <v>823</v>
      </c>
    </row>
    <row r="202" spans="2:18">
      <c r="B202" s="19" t="s">
        <v>842</v>
      </c>
      <c r="F202" s="19" t="s">
        <v>69</v>
      </c>
    </row>
    <row r="203" spans="2:18">
      <c r="B203" s="19" t="s">
        <v>843</v>
      </c>
      <c r="C203" s="19" t="s">
        <v>70</v>
      </c>
      <c r="D203" s="19" t="s">
        <v>844</v>
      </c>
      <c r="E203" s="19" t="s">
        <v>845</v>
      </c>
      <c r="F203" s="19" t="s">
        <v>846</v>
      </c>
      <c r="I203" s="19" t="s">
        <v>847</v>
      </c>
      <c r="K203" s="19" t="s">
        <v>848</v>
      </c>
      <c r="M203" s="19" t="s">
        <v>849</v>
      </c>
      <c r="P203" s="19" t="s">
        <v>850</v>
      </c>
      <c r="Q203" s="19" t="s">
        <v>851</v>
      </c>
      <c r="R203" s="19" t="s">
        <v>852</v>
      </c>
    </row>
    <row r="204" spans="2:18">
      <c r="B204" s="19" t="s">
        <v>16</v>
      </c>
    </row>
    <row r="205" spans="2:18">
      <c r="B205" s="19" t="s">
        <v>853</v>
      </c>
      <c r="F205" s="19" t="s">
        <v>854</v>
      </c>
      <c r="I205" s="19" t="s">
        <v>855</v>
      </c>
      <c r="K205" s="19" t="s">
        <v>856</v>
      </c>
      <c r="M205" s="19" t="s">
        <v>857</v>
      </c>
      <c r="P205" s="19" t="s">
        <v>858</v>
      </c>
      <c r="Q205" s="19" t="s">
        <v>859</v>
      </c>
      <c r="R205" s="19" t="s">
        <v>860</v>
      </c>
    </row>
    <row r="206" spans="2:18">
      <c r="B206" s="19" t="s">
        <v>842</v>
      </c>
    </row>
    <row r="207" spans="2:18">
      <c r="B207" s="19" t="s">
        <v>861</v>
      </c>
      <c r="F207" s="19" t="s">
        <v>71</v>
      </c>
      <c r="I207" s="19" t="s">
        <v>862</v>
      </c>
      <c r="K207" s="19" t="s">
        <v>863</v>
      </c>
      <c r="M207" s="19" t="s">
        <v>864</v>
      </c>
      <c r="P207" s="19" t="s">
        <v>865</v>
      </c>
      <c r="Q207" s="19" t="s">
        <v>866</v>
      </c>
      <c r="R207" s="19" t="s">
        <v>867</v>
      </c>
    </row>
    <row r="208" spans="2:18">
      <c r="B208" s="19" t="s">
        <v>818</v>
      </c>
    </row>
    <row r="209" spans="2:18">
      <c r="B209" s="19" t="s">
        <v>818</v>
      </c>
    </row>
    <row r="210" spans="2:18">
      <c r="B210" s="19" t="s">
        <v>868</v>
      </c>
      <c r="F210" s="19" t="s">
        <v>72</v>
      </c>
    </row>
    <row r="211" spans="2:18">
      <c r="B211" s="19" t="s">
        <v>869</v>
      </c>
      <c r="C211" s="19" t="s">
        <v>73</v>
      </c>
      <c r="D211" s="19" t="s">
        <v>870</v>
      </c>
      <c r="E211" s="19" t="s">
        <v>871</v>
      </c>
      <c r="F211" s="19" t="s">
        <v>872</v>
      </c>
      <c r="I211" s="19" t="s">
        <v>873</v>
      </c>
      <c r="K211" s="19" t="s">
        <v>874</v>
      </c>
      <c r="M211" s="19" t="s">
        <v>875</v>
      </c>
      <c r="P211" s="19" t="s">
        <v>876</v>
      </c>
      <c r="Q211" s="19" t="s">
        <v>877</v>
      </c>
      <c r="R211" s="19" t="s">
        <v>878</v>
      </c>
    </row>
    <row r="212" spans="2:18">
      <c r="B212" s="19" t="s">
        <v>16</v>
      </c>
    </row>
    <row r="213" spans="2:18">
      <c r="B213" s="19" t="s">
        <v>879</v>
      </c>
      <c r="F213" s="19" t="s">
        <v>880</v>
      </c>
      <c r="I213" s="19" t="s">
        <v>881</v>
      </c>
      <c r="K213" s="19" t="s">
        <v>882</v>
      </c>
      <c r="M213" s="19" t="s">
        <v>883</v>
      </c>
      <c r="P213" s="19" t="s">
        <v>884</v>
      </c>
      <c r="Q213" s="19" t="s">
        <v>885</v>
      </c>
      <c r="R213" s="19" t="s">
        <v>886</v>
      </c>
    </row>
    <row r="214" spans="2:18">
      <c r="B214" s="19" t="s">
        <v>868</v>
      </c>
    </row>
    <row r="215" spans="2:18">
      <c r="B215" s="19" t="s">
        <v>887</v>
      </c>
      <c r="F215" s="19" t="s">
        <v>74</v>
      </c>
    </row>
    <row r="216" spans="2:18">
      <c r="B216" s="19" t="s">
        <v>888</v>
      </c>
      <c r="C216" s="19" t="s">
        <v>75</v>
      </c>
      <c r="D216" s="19" t="s">
        <v>889</v>
      </c>
      <c r="E216" s="19" t="s">
        <v>890</v>
      </c>
      <c r="F216" s="19" t="s">
        <v>891</v>
      </c>
      <c r="I216" s="19" t="s">
        <v>892</v>
      </c>
      <c r="K216" s="19" t="s">
        <v>893</v>
      </c>
      <c r="M216" s="19" t="s">
        <v>894</v>
      </c>
      <c r="P216" s="19" t="s">
        <v>895</v>
      </c>
      <c r="Q216" s="19" t="s">
        <v>896</v>
      </c>
      <c r="R216" s="19" t="s">
        <v>897</v>
      </c>
    </row>
    <row r="217" spans="2:18">
      <c r="B217" s="19" t="s">
        <v>16</v>
      </c>
    </row>
    <row r="218" spans="2:18">
      <c r="B218" s="19" t="s">
        <v>898</v>
      </c>
      <c r="F218" s="19" t="s">
        <v>899</v>
      </c>
      <c r="I218" s="19" t="s">
        <v>900</v>
      </c>
      <c r="K218" s="19" t="s">
        <v>901</v>
      </c>
      <c r="M218" s="19" t="s">
        <v>902</v>
      </c>
      <c r="P218" s="19" t="s">
        <v>903</v>
      </c>
      <c r="Q218" s="19" t="s">
        <v>904</v>
      </c>
      <c r="R218" s="19" t="s">
        <v>905</v>
      </c>
    </row>
    <row r="219" spans="2:18">
      <c r="B219" s="19" t="s">
        <v>887</v>
      </c>
    </row>
    <row r="220" spans="2:18">
      <c r="B220" s="19" t="s">
        <v>818</v>
      </c>
    </row>
    <row r="221" spans="2:18">
      <c r="B221" s="19" t="s">
        <v>906</v>
      </c>
      <c r="C221" s="19" t="s">
        <v>787</v>
      </c>
      <c r="F221" s="19" t="s">
        <v>907</v>
      </c>
    </row>
    <row r="222" spans="2:18">
      <c r="B222" s="19" t="s">
        <v>908</v>
      </c>
      <c r="C222" s="19" t="s">
        <v>76</v>
      </c>
      <c r="D222" s="19" t="s">
        <v>909</v>
      </c>
      <c r="E222" s="19" t="s">
        <v>910</v>
      </c>
      <c r="F222" s="19" t="s">
        <v>911</v>
      </c>
      <c r="I222" s="19" t="s">
        <v>912</v>
      </c>
      <c r="K222" s="19" t="s">
        <v>913</v>
      </c>
      <c r="M222" s="19" t="s">
        <v>914</v>
      </c>
      <c r="P222" s="19" t="s">
        <v>915</v>
      </c>
      <c r="Q222" s="19" t="s">
        <v>916</v>
      </c>
      <c r="R222" s="19" t="s">
        <v>917</v>
      </c>
    </row>
    <row r="223" spans="2:18">
      <c r="B223" s="19" t="s">
        <v>16</v>
      </c>
    </row>
    <row r="224" spans="2:18">
      <c r="B224" s="19" t="s">
        <v>918</v>
      </c>
      <c r="F224" s="19" t="s">
        <v>919</v>
      </c>
      <c r="I224" s="19" t="s">
        <v>920</v>
      </c>
      <c r="K224" s="19" t="s">
        <v>921</v>
      </c>
      <c r="M224" s="19" t="s">
        <v>922</v>
      </c>
      <c r="P224" s="19" t="s">
        <v>923</v>
      </c>
      <c r="Q224" s="19" t="s">
        <v>924</v>
      </c>
      <c r="R224" s="19" t="s">
        <v>925</v>
      </c>
    </row>
    <row r="225" spans="2:18">
      <c r="B225" s="19" t="s">
        <v>906</v>
      </c>
    </row>
    <row r="226" spans="2:18">
      <c r="B226" s="19" t="s">
        <v>926</v>
      </c>
      <c r="F226" s="19" t="s">
        <v>77</v>
      </c>
      <c r="I226" s="19" t="s">
        <v>927</v>
      </c>
      <c r="K226" s="19" t="s">
        <v>928</v>
      </c>
      <c r="M226" s="19" t="s">
        <v>929</v>
      </c>
      <c r="P226" s="19" t="s">
        <v>930</v>
      </c>
      <c r="Q226" s="19" t="s">
        <v>931</v>
      </c>
      <c r="R226" s="19" t="s">
        <v>932</v>
      </c>
    </row>
    <row r="227" spans="2:18">
      <c r="B227" s="19" t="s">
        <v>818</v>
      </c>
    </row>
    <row r="228" spans="2:18">
      <c r="B228" s="19" t="s">
        <v>933</v>
      </c>
      <c r="F228" s="19" t="s">
        <v>78</v>
      </c>
      <c r="I228" s="19" t="s">
        <v>934</v>
      </c>
      <c r="K228" s="19" t="s">
        <v>935</v>
      </c>
      <c r="M228" s="19" t="s">
        <v>936</v>
      </c>
      <c r="P228" s="19" t="s">
        <v>937</v>
      </c>
      <c r="Q228" s="19" t="s">
        <v>938</v>
      </c>
      <c r="R228" s="19" t="s">
        <v>939</v>
      </c>
    </row>
    <row r="229" spans="2:18">
      <c r="B229" s="19" t="s">
        <v>818</v>
      </c>
    </row>
    <row r="230" spans="2:18">
      <c r="B230" s="19" t="s">
        <v>17</v>
      </c>
      <c r="F230" s="19" t="s">
        <v>79</v>
      </c>
      <c r="I230" s="19" t="s">
        <v>940</v>
      </c>
      <c r="K230" s="19" t="s">
        <v>941</v>
      </c>
      <c r="M230" s="19" t="s">
        <v>942</v>
      </c>
      <c r="P230" s="19" t="s">
        <v>943</v>
      </c>
      <c r="Q230" s="19" t="s">
        <v>944</v>
      </c>
      <c r="R230" s="19" t="s">
        <v>945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4E56-627E-48B8-B23C-2E4B9A0DD815}">
  <dimension ref="A1:R783"/>
  <sheetViews>
    <sheetView workbookViewId="0"/>
  </sheetViews>
  <sheetFormatPr defaultRowHeight="15"/>
  <sheetData>
    <row r="1" spans="1:18">
      <c r="A1" s="19" t="s">
        <v>947</v>
      </c>
      <c r="B1" s="19" t="s">
        <v>15</v>
      </c>
      <c r="C1" s="19" t="s">
        <v>16</v>
      </c>
      <c r="D1" s="19" t="s">
        <v>16</v>
      </c>
      <c r="E1" s="19" t="s">
        <v>81</v>
      </c>
      <c r="F1" s="19" t="s">
        <v>17</v>
      </c>
      <c r="I1" s="19" t="s">
        <v>18</v>
      </c>
      <c r="K1" s="19" t="s">
        <v>18</v>
      </c>
      <c r="M1" s="19" t="s">
        <v>18</v>
      </c>
      <c r="P1" s="19" t="s">
        <v>16</v>
      </c>
      <c r="Q1" s="19" t="s">
        <v>16</v>
      </c>
      <c r="R1" s="19" t="s">
        <v>16</v>
      </c>
    </row>
    <row r="2" spans="1:18">
      <c r="B2" s="19" t="s">
        <v>82</v>
      </c>
      <c r="P2" s="19" t="s">
        <v>83</v>
      </c>
    </row>
    <row r="3" spans="1:18">
      <c r="F3" s="19" t="s">
        <v>19</v>
      </c>
    </row>
    <row r="4" spans="1:18">
      <c r="C4" s="19" t="s">
        <v>84</v>
      </c>
      <c r="F4" s="19" t="s">
        <v>20</v>
      </c>
      <c r="P4" s="19" t="s">
        <v>948</v>
      </c>
      <c r="Q4" s="19" t="s">
        <v>949</v>
      </c>
    </row>
    <row r="5" spans="1:18">
      <c r="C5" s="19" t="s">
        <v>87</v>
      </c>
      <c r="F5" s="19" t="s">
        <v>88</v>
      </c>
      <c r="P5" s="19" t="s">
        <v>950</v>
      </c>
      <c r="Q5" s="19" t="s">
        <v>951</v>
      </c>
    </row>
    <row r="7" spans="1:18">
      <c r="F7" s="19" t="s">
        <v>91</v>
      </c>
    </row>
    <row r="8" spans="1:18">
      <c r="F8" s="19" t="s">
        <v>92</v>
      </c>
    </row>
    <row r="10" spans="1:18">
      <c r="I10" s="19" t="s">
        <v>93</v>
      </c>
      <c r="K10" s="19" t="s">
        <v>94</v>
      </c>
      <c r="M10" s="19" t="s">
        <v>95</v>
      </c>
    </row>
    <row r="11" spans="1:18">
      <c r="I11" s="19" t="s">
        <v>21</v>
      </c>
      <c r="K11" s="19" t="s">
        <v>21</v>
      </c>
      <c r="M11" s="19" t="s">
        <v>22</v>
      </c>
    </row>
    <row r="12" spans="1:18">
      <c r="F12" s="19" t="s">
        <v>23</v>
      </c>
    </row>
    <row r="14" spans="1:18">
      <c r="F14" s="19" t="s">
        <v>24</v>
      </c>
    </row>
    <row r="15" spans="1:18">
      <c r="B15" s="19" t="s">
        <v>952</v>
      </c>
      <c r="C15" s="19" t="s">
        <v>97</v>
      </c>
      <c r="F15" s="19" t="s">
        <v>98</v>
      </c>
    </row>
    <row r="16" spans="1:18">
      <c r="B16" s="19" t="s">
        <v>99</v>
      </c>
      <c r="C16" s="19" t="s">
        <v>25</v>
      </c>
      <c r="D16" s="19" t="s">
        <v>100</v>
      </c>
      <c r="E16" s="19" t="s">
        <v>101</v>
      </c>
      <c r="F16" s="19" t="s">
        <v>102</v>
      </c>
      <c r="I16" s="19" t="s">
        <v>103</v>
      </c>
      <c r="K16" s="19" t="s">
        <v>104</v>
      </c>
      <c r="M16" s="19" t="s">
        <v>105</v>
      </c>
      <c r="P16" s="19" t="s">
        <v>106</v>
      </c>
      <c r="Q16" s="19" t="s">
        <v>107</v>
      </c>
      <c r="R16" s="19" t="s">
        <v>108</v>
      </c>
    </row>
    <row r="17" spans="1:18">
      <c r="A17" s="19" t="s">
        <v>26</v>
      </c>
      <c r="B17" s="19" t="s">
        <v>953</v>
      </c>
      <c r="C17" s="19" t="s">
        <v>25</v>
      </c>
      <c r="D17" s="19" t="s">
        <v>954</v>
      </c>
      <c r="E17" s="19" t="s">
        <v>955</v>
      </c>
      <c r="F17" s="19" t="s">
        <v>956</v>
      </c>
      <c r="I17" s="19" t="s">
        <v>957</v>
      </c>
      <c r="K17" s="19" t="s">
        <v>958</v>
      </c>
      <c r="M17" s="19" t="s">
        <v>959</v>
      </c>
      <c r="P17" s="19" t="s">
        <v>960</v>
      </c>
      <c r="Q17" s="19" t="s">
        <v>961</v>
      </c>
      <c r="R17" s="19" t="s">
        <v>962</v>
      </c>
    </row>
    <row r="18" spans="1:18">
      <c r="A18" s="19" t="s">
        <v>26</v>
      </c>
      <c r="B18" s="19" t="s">
        <v>109</v>
      </c>
      <c r="C18" s="19" t="s">
        <v>25</v>
      </c>
      <c r="D18" s="19" t="s">
        <v>963</v>
      </c>
      <c r="E18" s="19" t="s">
        <v>964</v>
      </c>
      <c r="F18" s="19" t="s">
        <v>965</v>
      </c>
      <c r="I18" s="19" t="s">
        <v>966</v>
      </c>
      <c r="K18" s="19" t="s">
        <v>967</v>
      </c>
      <c r="M18" s="19" t="s">
        <v>113</v>
      </c>
      <c r="P18" s="19" t="s">
        <v>114</v>
      </c>
      <c r="Q18" s="19" t="s">
        <v>115</v>
      </c>
      <c r="R18" s="19" t="s">
        <v>116</v>
      </c>
    </row>
    <row r="19" spans="1:18">
      <c r="A19" s="19" t="s">
        <v>26</v>
      </c>
      <c r="B19" s="19" t="s">
        <v>968</v>
      </c>
      <c r="C19" s="19" t="s">
        <v>25</v>
      </c>
      <c r="D19" s="19" t="s">
        <v>969</v>
      </c>
      <c r="E19" s="19" t="s">
        <v>970</v>
      </c>
      <c r="F19" s="19" t="s">
        <v>971</v>
      </c>
      <c r="I19" s="19" t="s">
        <v>972</v>
      </c>
      <c r="K19" s="19" t="s">
        <v>973</v>
      </c>
      <c r="M19" s="19" t="s">
        <v>974</v>
      </c>
      <c r="P19" s="19" t="s">
        <v>975</v>
      </c>
      <c r="Q19" s="19" t="s">
        <v>976</v>
      </c>
      <c r="R19" s="19" t="s">
        <v>977</v>
      </c>
    </row>
    <row r="20" spans="1:18">
      <c r="A20" s="19" t="s">
        <v>26</v>
      </c>
      <c r="B20" s="19" t="s">
        <v>978</v>
      </c>
      <c r="C20" s="19" t="s">
        <v>25</v>
      </c>
      <c r="D20" s="19" t="s">
        <v>979</v>
      </c>
      <c r="E20" s="19" t="s">
        <v>980</v>
      </c>
      <c r="F20" s="19" t="s">
        <v>981</v>
      </c>
      <c r="I20" s="19" t="s">
        <v>982</v>
      </c>
      <c r="K20" s="19" t="s">
        <v>983</v>
      </c>
      <c r="M20" s="19" t="s">
        <v>984</v>
      </c>
      <c r="P20" s="19" t="s">
        <v>985</v>
      </c>
      <c r="Q20" s="19" t="s">
        <v>986</v>
      </c>
      <c r="R20" s="19" t="s">
        <v>987</v>
      </c>
    </row>
    <row r="21" spans="1:18">
      <c r="A21" s="19" t="s">
        <v>26</v>
      </c>
      <c r="B21" s="19" t="s">
        <v>120</v>
      </c>
      <c r="C21" s="19" t="s">
        <v>25</v>
      </c>
      <c r="D21" s="19" t="s">
        <v>988</v>
      </c>
      <c r="E21" s="19" t="s">
        <v>989</v>
      </c>
      <c r="F21" s="19" t="s">
        <v>123</v>
      </c>
      <c r="I21" s="19" t="s">
        <v>124</v>
      </c>
      <c r="K21" s="19" t="s">
        <v>990</v>
      </c>
      <c r="M21" s="19" t="s">
        <v>126</v>
      </c>
      <c r="P21" s="19" t="s">
        <v>127</v>
      </c>
      <c r="Q21" s="19" t="s">
        <v>128</v>
      </c>
      <c r="R21" s="19" t="s">
        <v>129</v>
      </c>
    </row>
    <row r="22" spans="1:18">
      <c r="A22" s="19" t="s">
        <v>26</v>
      </c>
      <c r="B22" s="19" t="s">
        <v>991</v>
      </c>
      <c r="C22" s="19" t="s">
        <v>25</v>
      </c>
      <c r="D22" s="19" t="s">
        <v>992</v>
      </c>
      <c r="E22" s="19" t="s">
        <v>993</v>
      </c>
      <c r="F22" s="19" t="s">
        <v>994</v>
      </c>
      <c r="I22" s="19" t="s">
        <v>995</v>
      </c>
      <c r="K22" s="19" t="s">
        <v>996</v>
      </c>
      <c r="M22" s="19" t="s">
        <v>997</v>
      </c>
      <c r="P22" s="19" t="s">
        <v>998</v>
      </c>
      <c r="Q22" s="19" t="s">
        <v>999</v>
      </c>
      <c r="R22" s="19" t="s">
        <v>1000</v>
      </c>
    </row>
    <row r="23" spans="1:18">
      <c r="A23" s="19" t="s">
        <v>26</v>
      </c>
      <c r="B23" s="19" t="s">
        <v>130</v>
      </c>
      <c r="C23" s="19" t="s">
        <v>25</v>
      </c>
      <c r="D23" s="19" t="s">
        <v>1001</v>
      </c>
      <c r="E23" s="19" t="s">
        <v>1002</v>
      </c>
      <c r="F23" s="19" t="s">
        <v>1003</v>
      </c>
      <c r="I23" s="19" t="s">
        <v>1004</v>
      </c>
      <c r="K23" s="19" t="s">
        <v>1005</v>
      </c>
      <c r="M23" s="19" t="s">
        <v>134</v>
      </c>
      <c r="P23" s="19" t="s">
        <v>135</v>
      </c>
      <c r="Q23" s="19" t="s">
        <v>136</v>
      </c>
      <c r="R23" s="19" t="s">
        <v>137</v>
      </c>
    </row>
    <row r="24" spans="1:18">
      <c r="A24" s="19" t="s">
        <v>26</v>
      </c>
      <c r="B24" s="19" t="s">
        <v>1006</v>
      </c>
      <c r="C24" s="19" t="s">
        <v>25</v>
      </c>
      <c r="D24" s="19" t="s">
        <v>1007</v>
      </c>
      <c r="E24" s="19" t="s">
        <v>1008</v>
      </c>
      <c r="F24" s="19" t="s">
        <v>1009</v>
      </c>
      <c r="I24" s="19" t="s">
        <v>1010</v>
      </c>
      <c r="K24" s="19" t="s">
        <v>1011</v>
      </c>
      <c r="M24" s="19" t="s">
        <v>1012</v>
      </c>
      <c r="P24" s="19" t="s">
        <v>1013</v>
      </c>
      <c r="Q24" s="19" t="s">
        <v>1014</v>
      </c>
      <c r="R24" s="19" t="s">
        <v>1015</v>
      </c>
    </row>
    <row r="25" spans="1:18">
      <c r="A25" s="19" t="s">
        <v>26</v>
      </c>
      <c r="B25" s="19" t="s">
        <v>1016</v>
      </c>
      <c r="C25" s="19" t="s">
        <v>25</v>
      </c>
      <c r="D25" s="19" t="s">
        <v>1017</v>
      </c>
      <c r="E25" s="19" t="s">
        <v>1018</v>
      </c>
      <c r="F25" s="19" t="s">
        <v>1019</v>
      </c>
      <c r="I25" s="19" t="s">
        <v>1020</v>
      </c>
      <c r="K25" s="19" t="s">
        <v>1021</v>
      </c>
      <c r="M25" s="19" t="s">
        <v>1022</v>
      </c>
      <c r="P25" s="19" t="s">
        <v>1023</v>
      </c>
      <c r="Q25" s="19" t="s">
        <v>1024</v>
      </c>
      <c r="R25" s="19" t="s">
        <v>1025</v>
      </c>
    </row>
    <row r="26" spans="1:18">
      <c r="A26" s="19" t="s">
        <v>26</v>
      </c>
      <c r="B26" s="19" t="s">
        <v>141</v>
      </c>
      <c r="C26" s="19" t="s">
        <v>25</v>
      </c>
      <c r="D26" s="19" t="s">
        <v>1026</v>
      </c>
      <c r="E26" s="19" t="s">
        <v>1027</v>
      </c>
      <c r="F26" s="19" t="s">
        <v>144</v>
      </c>
      <c r="I26" s="19" t="s">
        <v>145</v>
      </c>
      <c r="K26" s="19" t="s">
        <v>1028</v>
      </c>
      <c r="M26" s="19" t="s">
        <v>147</v>
      </c>
      <c r="P26" s="19" t="s">
        <v>148</v>
      </c>
      <c r="Q26" s="19" t="s">
        <v>149</v>
      </c>
      <c r="R26" s="19" t="s">
        <v>150</v>
      </c>
    </row>
    <row r="27" spans="1:18">
      <c r="A27" s="19" t="s">
        <v>26</v>
      </c>
      <c r="B27" s="19" t="s">
        <v>1029</v>
      </c>
      <c r="C27" s="19" t="s">
        <v>25</v>
      </c>
      <c r="D27" s="19" t="s">
        <v>1030</v>
      </c>
      <c r="E27" s="19" t="s">
        <v>1031</v>
      </c>
      <c r="F27" s="19" t="s">
        <v>1032</v>
      </c>
      <c r="I27" s="19" t="s">
        <v>1033</v>
      </c>
      <c r="K27" s="19" t="s">
        <v>1034</v>
      </c>
      <c r="M27" s="19" t="s">
        <v>1035</v>
      </c>
      <c r="P27" s="19" t="s">
        <v>1036</v>
      </c>
      <c r="Q27" s="19" t="s">
        <v>1037</v>
      </c>
      <c r="R27" s="19" t="s">
        <v>1038</v>
      </c>
    </row>
    <row r="28" spans="1:18">
      <c r="A28" s="19" t="s">
        <v>26</v>
      </c>
      <c r="B28" s="19" t="s">
        <v>151</v>
      </c>
      <c r="C28" s="19" t="s">
        <v>25</v>
      </c>
      <c r="D28" s="19" t="s">
        <v>1039</v>
      </c>
      <c r="E28" s="19" t="s">
        <v>1040</v>
      </c>
      <c r="F28" s="19" t="s">
        <v>1041</v>
      </c>
      <c r="I28" s="19" t="s">
        <v>1042</v>
      </c>
      <c r="K28" s="19" t="s">
        <v>1043</v>
      </c>
      <c r="M28" s="19" t="s">
        <v>155</v>
      </c>
      <c r="P28" s="19" t="s">
        <v>156</v>
      </c>
      <c r="Q28" s="19" t="s">
        <v>157</v>
      </c>
      <c r="R28" s="19" t="s">
        <v>158</v>
      </c>
    </row>
    <row r="29" spans="1:18">
      <c r="A29" s="19" t="s">
        <v>26</v>
      </c>
      <c r="B29" s="19" t="s">
        <v>1044</v>
      </c>
      <c r="C29" s="19" t="s">
        <v>25</v>
      </c>
      <c r="D29" s="19" t="s">
        <v>1045</v>
      </c>
      <c r="E29" s="19" t="s">
        <v>1046</v>
      </c>
      <c r="F29" s="19" t="s">
        <v>1047</v>
      </c>
      <c r="I29" s="19" t="s">
        <v>1048</v>
      </c>
      <c r="K29" s="19" t="s">
        <v>1049</v>
      </c>
      <c r="M29" s="19" t="s">
        <v>1050</v>
      </c>
      <c r="P29" s="19" t="s">
        <v>1051</v>
      </c>
      <c r="Q29" s="19" t="s">
        <v>1052</v>
      </c>
      <c r="R29" s="19" t="s">
        <v>1053</v>
      </c>
    </row>
    <row r="30" spans="1:18">
      <c r="A30" s="19" t="s">
        <v>26</v>
      </c>
      <c r="B30" s="19" t="s">
        <v>1054</v>
      </c>
      <c r="C30" s="19" t="s">
        <v>25</v>
      </c>
      <c r="D30" s="19" t="s">
        <v>1055</v>
      </c>
      <c r="E30" s="19" t="s">
        <v>1056</v>
      </c>
      <c r="F30" s="19" t="s">
        <v>1057</v>
      </c>
      <c r="I30" s="19" t="s">
        <v>1058</v>
      </c>
      <c r="K30" s="19" t="s">
        <v>1059</v>
      </c>
      <c r="M30" s="19" t="s">
        <v>1060</v>
      </c>
      <c r="P30" s="19" t="s">
        <v>1061</v>
      </c>
      <c r="Q30" s="19" t="s">
        <v>1062</v>
      </c>
      <c r="R30" s="19" t="s">
        <v>1063</v>
      </c>
    </row>
    <row r="31" spans="1:18">
      <c r="A31" s="19" t="s">
        <v>26</v>
      </c>
      <c r="B31" s="19" t="s">
        <v>162</v>
      </c>
      <c r="C31" s="19" t="s">
        <v>25</v>
      </c>
      <c r="D31" s="19" t="s">
        <v>1064</v>
      </c>
      <c r="E31" s="19" t="s">
        <v>1065</v>
      </c>
      <c r="F31" s="19" t="s">
        <v>165</v>
      </c>
      <c r="I31" s="19" t="s">
        <v>166</v>
      </c>
      <c r="K31" s="19" t="s">
        <v>1066</v>
      </c>
      <c r="M31" s="19" t="s">
        <v>168</v>
      </c>
      <c r="P31" s="19" t="s">
        <v>169</v>
      </c>
      <c r="Q31" s="19" t="s">
        <v>170</v>
      </c>
      <c r="R31" s="19" t="s">
        <v>171</v>
      </c>
    </row>
    <row r="32" spans="1:18">
      <c r="A32" s="19" t="s">
        <v>26</v>
      </c>
      <c r="B32" s="19" t="s">
        <v>1067</v>
      </c>
      <c r="C32" s="19" t="s">
        <v>25</v>
      </c>
      <c r="D32" s="19" t="s">
        <v>1068</v>
      </c>
      <c r="E32" s="19" t="s">
        <v>1069</v>
      </c>
      <c r="F32" s="19" t="s">
        <v>1070</v>
      </c>
      <c r="I32" s="19" t="s">
        <v>1071</v>
      </c>
      <c r="K32" s="19" t="s">
        <v>1072</v>
      </c>
      <c r="M32" s="19" t="s">
        <v>1073</v>
      </c>
      <c r="P32" s="19" t="s">
        <v>1074</v>
      </c>
      <c r="Q32" s="19" t="s">
        <v>1075</v>
      </c>
      <c r="R32" s="19" t="s">
        <v>1076</v>
      </c>
    </row>
    <row r="33" spans="1:18">
      <c r="A33" s="19" t="s">
        <v>26</v>
      </c>
      <c r="B33" s="19" t="s">
        <v>172</v>
      </c>
      <c r="C33" s="19" t="s">
        <v>25</v>
      </c>
      <c r="D33" s="19" t="s">
        <v>1077</v>
      </c>
      <c r="E33" s="19" t="s">
        <v>1078</v>
      </c>
      <c r="F33" s="19" t="s">
        <v>1079</v>
      </c>
      <c r="I33" s="19" t="s">
        <v>1080</v>
      </c>
      <c r="K33" s="19" t="s">
        <v>1081</v>
      </c>
      <c r="M33" s="19" t="s">
        <v>176</v>
      </c>
      <c r="P33" s="19" t="s">
        <v>177</v>
      </c>
      <c r="Q33" s="19" t="s">
        <v>178</v>
      </c>
      <c r="R33" s="19" t="s">
        <v>179</v>
      </c>
    </row>
    <row r="34" spans="1:18">
      <c r="A34" s="19" t="s">
        <v>26</v>
      </c>
      <c r="B34" s="19" t="s">
        <v>1082</v>
      </c>
      <c r="C34" s="19" t="s">
        <v>25</v>
      </c>
      <c r="D34" s="19" t="s">
        <v>1083</v>
      </c>
      <c r="E34" s="19" t="s">
        <v>1084</v>
      </c>
      <c r="F34" s="19" t="s">
        <v>1085</v>
      </c>
      <c r="I34" s="19" t="s">
        <v>1086</v>
      </c>
      <c r="K34" s="19" t="s">
        <v>1087</v>
      </c>
      <c r="M34" s="19" t="s">
        <v>1088</v>
      </c>
      <c r="P34" s="19" t="s">
        <v>1089</v>
      </c>
      <c r="Q34" s="19" t="s">
        <v>1090</v>
      </c>
      <c r="R34" s="19" t="s">
        <v>1091</v>
      </c>
    </row>
    <row r="35" spans="1:18">
      <c r="A35" s="19" t="s">
        <v>26</v>
      </c>
      <c r="B35" s="19" t="s">
        <v>1092</v>
      </c>
      <c r="C35" s="19" t="s">
        <v>25</v>
      </c>
      <c r="D35" s="19" t="s">
        <v>1093</v>
      </c>
      <c r="E35" s="19" t="s">
        <v>1094</v>
      </c>
      <c r="F35" s="19" t="s">
        <v>1095</v>
      </c>
      <c r="I35" s="19" t="s">
        <v>1096</v>
      </c>
      <c r="K35" s="19" t="s">
        <v>1097</v>
      </c>
      <c r="M35" s="19" t="s">
        <v>1098</v>
      </c>
      <c r="P35" s="19" t="s">
        <v>1099</v>
      </c>
      <c r="Q35" s="19" t="s">
        <v>1100</v>
      </c>
      <c r="R35" s="19" t="s">
        <v>1101</v>
      </c>
    </row>
    <row r="36" spans="1:18">
      <c r="B36" s="19" t="s">
        <v>16</v>
      </c>
    </row>
    <row r="37" spans="1:18">
      <c r="B37" s="19" t="s">
        <v>1102</v>
      </c>
      <c r="F37" s="19" t="s">
        <v>110</v>
      </c>
      <c r="I37" s="19" t="s">
        <v>1103</v>
      </c>
      <c r="K37" s="19" t="s">
        <v>1104</v>
      </c>
      <c r="M37" s="19" t="s">
        <v>1105</v>
      </c>
      <c r="P37" s="19" t="s">
        <v>1106</v>
      </c>
      <c r="Q37" s="19" t="s">
        <v>1107</v>
      </c>
      <c r="R37" s="19" t="s">
        <v>1108</v>
      </c>
    </row>
    <row r="38" spans="1:18">
      <c r="B38" s="19" t="s">
        <v>952</v>
      </c>
    </row>
    <row r="39" spans="1:18">
      <c r="B39" s="19" t="s">
        <v>222</v>
      </c>
      <c r="C39" s="19" t="s">
        <v>118</v>
      </c>
      <c r="F39" s="19" t="s">
        <v>1109</v>
      </c>
    </row>
    <row r="40" spans="1:18">
      <c r="B40" s="19" t="s">
        <v>1110</v>
      </c>
      <c r="C40" s="19" t="s">
        <v>27</v>
      </c>
      <c r="D40" s="19" t="s">
        <v>1111</v>
      </c>
      <c r="E40" s="19" t="s">
        <v>1112</v>
      </c>
      <c r="F40" s="19" t="s">
        <v>1113</v>
      </c>
      <c r="I40" s="19" t="s">
        <v>1114</v>
      </c>
      <c r="K40" s="19" t="s">
        <v>1115</v>
      </c>
      <c r="M40" s="19" t="s">
        <v>1116</v>
      </c>
      <c r="P40" s="19" t="s">
        <v>1117</v>
      </c>
      <c r="Q40" s="19" t="s">
        <v>1118</v>
      </c>
      <c r="R40" s="19" t="s">
        <v>1119</v>
      </c>
    </row>
    <row r="41" spans="1:18">
      <c r="A41" s="19" t="s">
        <v>26</v>
      </c>
      <c r="B41" s="19" t="s">
        <v>204</v>
      </c>
      <c r="C41" s="19" t="s">
        <v>27</v>
      </c>
      <c r="D41" s="19" t="s">
        <v>1120</v>
      </c>
      <c r="E41" s="19" t="s">
        <v>206</v>
      </c>
      <c r="F41" s="19" t="s">
        <v>207</v>
      </c>
      <c r="I41" s="19" t="s">
        <v>208</v>
      </c>
      <c r="K41" s="19" t="s">
        <v>209</v>
      </c>
      <c r="M41" s="19" t="s">
        <v>210</v>
      </c>
      <c r="P41" s="19" t="s">
        <v>211</v>
      </c>
      <c r="Q41" s="19" t="s">
        <v>212</v>
      </c>
      <c r="R41" s="19" t="s">
        <v>213</v>
      </c>
    </row>
    <row r="42" spans="1:18">
      <c r="A42" s="19" t="s">
        <v>26</v>
      </c>
      <c r="B42" s="19" t="s">
        <v>1121</v>
      </c>
      <c r="C42" s="19" t="s">
        <v>27</v>
      </c>
      <c r="D42" s="19" t="s">
        <v>1122</v>
      </c>
      <c r="E42" s="19" t="s">
        <v>1123</v>
      </c>
      <c r="F42" s="19" t="s">
        <v>1124</v>
      </c>
      <c r="I42" s="19" t="s">
        <v>1125</v>
      </c>
      <c r="K42" s="19" t="s">
        <v>1126</v>
      </c>
      <c r="M42" s="19" t="s">
        <v>1127</v>
      </c>
      <c r="P42" s="19" t="s">
        <v>1128</v>
      </c>
      <c r="Q42" s="19" t="s">
        <v>1129</v>
      </c>
      <c r="R42" s="19" t="s">
        <v>1130</v>
      </c>
    </row>
    <row r="43" spans="1:18">
      <c r="A43" s="19" t="s">
        <v>26</v>
      </c>
      <c r="B43" s="19" t="s">
        <v>214</v>
      </c>
      <c r="C43" s="19" t="s">
        <v>27</v>
      </c>
      <c r="D43" s="19" t="s">
        <v>1131</v>
      </c>
      <c r="E43" s="19" t="s">
        <v>1132</v>
      </c>
      <c r="F43" s="19" t="s">
        <v>1133</v>
      </c>
      <c r="I43" s="19" t="s">
        <v>1134</v>
      </c>
      <c r="K43" s="19" t="s">
        <v>1135</v>
      </c>
      <c r="M43" s="19" t="s">
        <v>218</v>
      </c>
      <c r="P43" s="19" t="s">
        <v>219</v>
      </c>
      <c r="Q43" s="19" t="s">
        <v>220</v>
      </c>
      <c r="R43" s="19" t="s">
        <v>221</v>
      </c>
    </row>
    <row r="44" spans="1:18">
      <c r="A44" s="19" t="s">
        <v>26</v>
      </c>
      <c r="B44" s="19" t="s">
        <v>1136</v>
      </c>
      <c r="C44" s="19" t="s">
        <v>27</v>
      </c>
      <c r="D44" s="19" t="s">
        <v>1137</v>
      </c>
      <c r="E44" s="19" t="s">
        <v>1138</v>
      </c>
      <c r="F44" s="19" t="s">
        <v>1139</v>
      </c>
      <c r="I44" s="19" t="s">
        <v>1140</v>
      </c>
      <c r="K44" s="19" t="s">
        <v>1141</v>
      </c>
      <c r="M44" s="19" t="s">
        <v>1142</v>
      </c>
      <c r="P44" s="19" t="s">
        <v>1143</v>
      </c>
      <c r="Q44" s="19" t="s">
        <v>1144</v>
      </c>
      <c r="R44" s="19" t="s">
        <v>1145</v>
      </c>
    </row>
    <row r="45" spans="1:18">
      <c r="A45" s="19" t="s">
        <v>26</v>
      </c>
      <c r="B45" s="19" t="s">
        <v>1146</v>
      </c>
      <c r="C45" s="19" t="s">
        <v>27</v>
      </c>
      <c r="D45" s="19" t="s">
        <v>1147</v>
      </c>
      <c r="E45" s="19" t="s">
        <v>1148</v>
      </c>
      <c r="F45" s="19" t="s">
        <v>1149</v>
      </c>
      <c r="I45" s="19" t="s">
        <v>1150</v>
      </c>
      <c r="K45" s="19" t="s">
        <v>1151</v>
      </c>
      <c r="M45" s="19" t="s">
        <v>1152</v>
      </c>
      <c r="P45" s="19" t="s">
        <v>1153</v>
      </c>
      <c r="Q45" s="19" t="s">
        <v>1154</v>
      </c>
      <c r="R45" s="19" t="s">
        <v>1155</v>
      </c>
    </row>
    <row r="46" spans="1:18">
      <c r="A46" s="19" t="s">
        <v>26</v>
      </c>
      <c r="B46" s="19" t="s">
        <v>225</v>
      </c>
      <c r="C46" s="19" t="s">
        <v>27</v>
      </c>
      <c r="D46" s="19" t="s">
        <v>1156</v>
      </c>
      <c r="E46" s="19" t="s">
        <v>227</v>
      </c>
      <c r="F46" s="19" t="s">
        <v>228</v>
      </c>
      <c r="I46" s="19" t="s">
        <v>229</v>
      </c>
      <c r="K46" s="19" t="s">
        <v>230</v>
      </c>
      <c r="M46" s="19" t="s">
        <v>231</v>
      </c>
      <c r="P46" s="19" t="s">
        <v>232</v>
      </c>
      <c r="Q46" s="19" t="s">
        <v>233</v>
      </c>
      <c r="R46" s="19" t="s">
        <v>234</v>
      </c>
    </row>
    <row r="47" spans="1:18">
      <c r="B47" s="19" t="s">
        <v>16</v>
      </c>
    </row>
    <row r="48" spans="1:18">
      <c r="B48" s="19" t="s">
        <v>235</v>
      </c>
      <c r="F48" s="19" t="s">
        <v>1157</v>
      </c>
      <c r="I48" s="19" t="s">
        <v>1158</v>
      </c>
      <c r="K48" s="19" t="s">
        <v>1159</v>
      </c>
      <c r="M48" s="19" t="s">
        <v>239</v>
      </c>
      <c r="P48" s="19" t="s">
        <v>240</v>
      </c>
      <c r="Q48" s="19" t="s">
        <v>241</v>
      </c>
      <c r="R48" s="19" t="s">
        <v>242</v>
      </c>
    </row>
    <row r="49" spans="1:18">
      <c r="B49" s="19" t="s">
        <v>222</v>
      </c>
    </row>
    <row r="50" spans="1:18">
      <c r="B50" s="19" t="s">
        <v>1160</v>
      </c>
      <c r="C50" s="19" t="s">
        <v>139</v>
      </c>
      <c r="F50" s="19" t="s">
        <v>245</v>
      </c>
    </row>
    <row r="51" spans="1:18">
      <c r="B51" s="19" t="s">
        <v>246</v>
      </c>
      <c r="C51" s="19" t="s">
        <v>28</v>
      </c>
      <c r="D51" s="19" t="s">
        <v>247</v>
      </c>
      <c r="E51" s="19" t="s">
        <v>248</v>
      </c>
      <c r="F51" s="19" t="s">
        <v>249</v>
      </c>
      <c r="I51" s="19" t="s">
        <v>250</v>
      </c>
      <c r="K51" s="19" t="s">
        <v>251</v>
      </c>
      <c r="M51" s="19" t="s">
        <v>252</v>
      </c>
      <c r="P51" s="19" t="s">
        <v>253</v>
      </c>
      <c r="Q51" s="19" t="s">
        <v>254</v>
      </c>
      <c r="R51" s="19" t="s">
        <v>255</v>
      </c>
    </row>
    <row r="52" spans="1:18">
      <c r="A52" s="19" t="s">
        <v>26</v>
      </c>
      <c r="B52" s="19" t="s">
        <v>1161</v>
      </c>
      <c r="C52" s="19" t="s">
        <v>28</v>
      </c>
      <c r="D52" s="19" t="s">
        <v>1162</v>
      </c>
      <c r="E52" s="19" t="s">
        <v>1163</v>
      </c>
      <c r="F52" s="19" t="s">
        <v>1164</v>
      </c>
      <c r="I52" s="19" t="s">
        <v>1165</v>
      </c>
      <c r="K52" s="19" t="s">
        <v>1166</v>
      </c>
      <c r="M52" s="19" t="s">
        <v>1167</v>
      </c>
      <c r="P52" s="19" t="s">
        <v>1168</v>
      </c>
      <c r="Q52" s="19" t="s">
        <v>1169</v>
      </c>
      <c r="R52" s="19" t="s">
        <v>1170</v>
      </c>
    </row>
    <row r="53" spans="1:18">
      <c r="A53" s="19" t="s">
        <v>26</v>
      </c>
      <c r="B53" s="19" t="s">
        <v>256</v>
      </c>
      <c r="C53" s="19" t="s">
        <v>28</v>
      </c>
      <c r="D53" s="19" t="s">
        <v>1171</v>
      </c>
      <c r="E53" s="19" t="s">
        <v>1172</v>
      </c>
      <c r="F53" s="19" t="s">
        <v>1173</v>
      </c>
      <c r="I53" s="19" t="s">
        <v>1174</v>
      </c>
      <c r="K53" s="19" t="s">
        <v>1175</v>
      </c>
      <c r="M53" s="19" t="s">
        <v>260</v>
      </c>
      <c r="P53" s="19" t="s">
        <v>261</v>
      </c>
      <c r="Q53" s="19" t="s">
        <v>262</v>
      </c>
      <c r="R53" s="19" t="s">
        <v>263</v>
      </c>
    </row>
    <row r="54" spans="1:18">
      <c r="A54" s="19" t="s">
        <v>26</v>
      </c>
      <c r="B54" s="19" t="s">
        <v>1176</v>
      </c>
      <c r="C54" s="19" t="s">
        <v>28</v>
      </c>
      <c r="D54" s="19" t="s">
        <v>1177</v>
      </c>
      <c r="E54" s="19" t="s">
        <v>1178</v>
      </c>
      <c r="F54" s="19" t="s">
        <v>1179</v>
      </c>
      <c r="I54" s="19" t="s">
        <v>1180</v>
      </c>
      <c r="K54" s="19" t="s">
        <v>1181</v>
      </c>
      <c r="M54" s="19" t="s">
        <v>1182</v>
      </c>
      <c r="P54" s="19" t="s">
        <v>1183</v>
      </c>
      <c r="Q54" s="19" t="s">
        <v>1184</v>
      </c>
      <c r="R54" s="19" t="s">
        <v>1185</v>
      </c>
    </row>
    <row r="55" spans="1:18">
      <c r="A55" s="19" t="s">
        <v>26</v>
      </c>
      <c r="B55" s="19" t="s">
        <v>1186</v>
      </c>
      <c r="C55" s="19" t="s">
        <v>28</v>
      </c>
      <c r="D55" s="19" t="s">
        <v>1187</v>
      </c>
      <c r="E55" s="19" t="s">
        <v>1188</v>
      </c>
      <c r="F55" s="19" t="s">
        <v>1189</v>
      </c>
      <c r="I55" s="19" t="s">
        <v>1190</v>
      </c>
      <c r="K55" s="19" t="s">
        <v>1191</v>
      </c>
      <c r="M55" s="19" t="s">
        <v>1192</v>
      </c>
      <c r="P55" s="19" t="s">
        <v>1193</v>
      </c>
      <c r="Q55" s="19" t="s">
        <v>1194</v>
      </c>
      <c r="R55" s="19" t="s">
        <v>1195</v>
      </c>
    </row>
    <row r="56" spans="1:18">
      <c r="A56" s="19" t="s">
        <v>26</v>
      </c>
      <c r="B56" s="19" t="s">
        <v>267</v>
      </c>
      <c r="C56" s="19" t="s">
        <v>28</v>
      </c>
      <c r="D56" s="19" t="s">
        <v>1196</v>
      </c>
      <c r="E56" s="19" t="s">
        <v>269</v>
      </c>
      <c r="F56" s="19" t="s">
        <v>270</v>
      </c>
      <c r="I56" s="19" t="s">
        <v>271</v>
      </c>
      <c r="K56" s="19" t="s">
        <v>272</v>
      </c>
      <c r="M56" s="19" t="s">
        <v>273</v>
      </c>
      <c r="P56" s="19" t="s">
        <v>274</v>
      </c>
      <c r="Q56" s="19" t="s">
        <v>275</v>
      </c>
      <c r="R56" s="19" t="s">
        <v>276</v>
      </c>
    </row>
    <row r="57" spans="1:18">
      <c r="A57" s="19" t="s">
        <v>26</v>
      </c>
      <c r="B57" s="19" t="s">
        <v>1197</v>
      </c>
      <c r="C57" s="19" t="s">
        <v>28</v>
      </c>
      <c r="D57" s="19" t="s">
        <v>1198</v>
      </c>
      <c r="E57" s="19" t="s">
        <v>1199</v>
      </c>
      <c r="F57" s="19" t="s">
        <v>1200</v>
      </c>
      <c r="I57" s="19" t="s">
        <v>1201</v>
      </c>
      <c r="K57" s="19" t="s">
        <v>1202</v>
      </c>
      <c r="M57" s="19" t="s">
        <v>1203</v>
      </c>
      <c r="P57" s="19" t="s">
        <v>1204</v>
      </c>
      <c r="Q57" s="19" t="s">
        <v>1205</v>
      </c>
      <c r="R57" s="19" t="s">
        <v>1206</v>
      </c>
    </row>
    <row r="58" spans="1:18">
      <c r="B58" s="19" t="s">
        <v>16</v>
      </c>
    </row>
    <row r="59" spans="1:18">
      <c r="B59" s="19" t="s">
        <v>1207</v>
      </c>
      <c r="F59" s="19" t="s">
        <v>257</v>
      </c>
      <c r="I59" s="19" t="s">
        <v>1208</v>
      </c>
      <c r="K59" s="19" t="s">
        <v>1209</v>
      </c>
      <c r="M59" s="19" t="s">
        <v>1210</v>
      </c>
      <c r="P59" s="19" t="s">
        <v>1211</v>
      </c>
      <c r="Q59" s="19" t="s">
        <v>1212</v>
      </c>
      <c r="R59" s="19" t="s">
        <v>1213</v>
      </c>
    </row>
    <row r="60" spans="1:18">
      <c r="B60" s="19" t="s">
        <v>222</v>
      </c>
    </row>
    <row r="61" spans="1:18">
      <c r="B61" s="19" t="s">
        <v>1214</v>
      </c>
      <c r="C61" s="19" t="s">
        <v>160</v>
      </c>
      <c r="F61" s="19" t="s">
        <v>1215</v>
      </c>
    </row>
    <row r="62" spans="1:18">
      <c r="B62" s="19" t="s">
        <v>1216</v>
      </c>
      <c r="C62" s="19" t="s">
        <v>29</v>
      </c>
      <c r="D62" s="19" t="s">
        <v>1217</v>
      </c>
      <c r="E62" s="19" t="s">
        <v>1218</v>
      </c>
      <c r="F62" s="19" t="s">
        <v>1219</v>
      </c>
      <c r="I62" s="19" t="s">
        <v>1220</v>
      </c>
      <c r="K62" s="19" t="s">
        <v>1221</v>
      </c>
      <c r="M62" s="19" t="s">
        <v>1222</v>
      </c>
      <c r="P62" s="19" t="s">
        <v>1223</v>
      </c>
      <c r="Q62" s="19" t="s">
        <v>1224</v>
      </c>
      <c r="R62" s="19" t="s">
        <v>1225</v>
      </c>
    </row>
    <row r="63" spans="1:18">
      <c r="A63" s="19" t="s">
        <v>26</v>
      </c>
      <c r="B63" s="19" t="s">
        <v>298</v>
      </c>
      <c r="C63" s="19" t="s">
        <v>29</v>
      </c>
      <c r="D63" s="19" t="s">
        <v>1226</v>
      </c>
      <c r="E63" s="19" t="s">
        <v>1227</v>
      </c>
      <c r="F63" s="19" t="s">
        <v>1228</v>
      </c>
      <c r="I63" s="19" t="s">
        <v>1229</v>
      </c>
      <c r="K63" s="19" t="s">
        <v>1230</v>
      </c>
      <c r="M63" s="19" t="s">
        <v>302</v>
      </c>
      <c r="P63" s="19" t="s">
        <v>303</v>
      </c>
      <c r="Q63" s="19" t="s">
        <v>304</v>
      </c>
      <c r="R63" s="19" t="s">
        <v>305</v>
      </c>
    </row>
    <row r="64" spans="1:18">
      <c r="B64" s="19" t="s">
        <v>16</v>
      </c>
    </row>
    <row r="65" spans="1:18">
      <c r="B65" s="19" t="s">
        <v>1231</v>
      </c>
      <c r="F65" s="19" t="s">
        <v>1232</v>
      </c>
      <c r="I65" s="19" t="s">
        <v>1233</v>
      </c>
      <c r="K65" s="19" t="s">
        <v>1234</v>
      </c>
      <c r="M65" s="19" t="s">
        <v>1235</v>
      </c>
      <c r="P65" s="19" t="s">
        <v>1236</v>
      </c>
      <c r="Q65" s="19" t="s">
        <v>1237</v>
      </c>
      <c r="R65" s="19" t="s">
        <v>1238</v>
      </c>
    </row>
    <row r="66" spans="1:18">
      <c r="B66" s="19" t="s">
        <v>222</v>
      </c>
    </row>
    <row r="67" spans="1:18">
      <c r="B67" s="19" t="s">
        <v>1239</v>
      </c>
      <c r="C67" s="19" t="s">
        <v>181</v>
      </c>
      <c r="F67" s="19" t="s">
        <v>1240</v>
      </c>
    </row>
    <row r="68" spans="1:18">
      <c r="B68" s="19" t="s">
        <v>319</v>
      </c>
      <c r="C68" s="19" t="s">
        <v>30</v>
      </c>
      <c r="D68" s="19" t="s">
        <v>1241</v>
      </c>
      <c r="E68" s="19" t="s">
        <v>1242</v>
      </c>
      <c r="F68" s="19" t="s">
        <v>1243</v>
      </c>
      <c r="I68" s="19" t="s">
        <v>1244</v>
      </c>
      <c r="K68" s="19" t="s">
        <v>1245</v>
      </c>
      <c r="M68" s="19" t="s">
        <v>323</v>
      </c>
      <c r="P68" s="19" t="s">
        <v>324</v>
      </c>
      <c r="Q68" s="19" t="s">
        <v>325</v>
      </c>
      <c r="R68" s="19" t="s">
        <v>326</v>
      </c>
    </row>
    <row r="69" spans="1:18">
      <c r="A69" s="19" t="s">
        <v>26</v>
      </c>
      <c r="B69" s="19" t="s">
        <v>1246</v>
      </c>
      <c r="C69" s="19" t="s">
        <v>30</v>
      </c>
      <c r="D69" s="19" t="s">
        <v>1247</v>
      </c>
      <c r="E69" s="19" t="s">
        <v>1248</v>
      </c>
      <c r="F69" s="19" t="s">
        <v>1249</v>
      </c>
      <c r="I69" s="19" t="s">
        <v>1250</v>
      </c>
      <c r="K69" s="19" t="s">
        <v>1251</v>
      </c>
      <c r="M69" s="19" t="s">
        <v>1252</v>
      </c>
      <c r="P69" s="19" t="s">
        <v>1253</v>
      </c>
      <c r="Q69" s="19" t="s">
        <v>1254</v>
      </c>
      <c r="R69" s="19" t="s">
        <v>1255</v>
      </c>
    </row>
    <row r="70" spans="1:18">
      <c r="A70" s="19" t="s">
        <v>26</v>
      </c>
      <c r="B70" s="19" t="s">
        <v>1256</v>
      </c>
      <c r="C70" s="19" t="s">
        <v>30</v>
      </c>
      <c r="D70" s="19" t="s">
        <v>1257</v>
      </c>
      <c r="E70" s="19" t="s">
        <v>1258</v>
      </c>
      <c r="F70" s="19" t="s">
        <v>1259</v>
      </c>
      <c r="I70" s="19" t="s">
        <v>1260</v>
      </c>
      <c r="K70" s="19" t="s">
        <v>1261</v>
      </c>
      <c r="M70" s="19" t="s">
        <v>1262</v>
      </c>
      <c r="P70" s="19" t="s">
        <v>1263</v>
      </c>
      <c r="Q70" s="19" t="s">
        <v>1264</v>
      </c>
      <c r="R70" s="19" t="s">
        <v>1265</v>
      </c>
    </row>
    <row r="71" spans="1:18">
      <c r="A71" s="19" t="s">
        <v>26</v>
      </c>
      <c r="B71" s="19" t="s">
        <v>330</v>
      </c>
      <c r="C71" s="19" t="s">
        <v>30</v>
      </c>
      <c r="D71" s="19" t="s">
        <v>1266</v>
      </c>
      <c r="E71" s="19" t="s">
        <v>332</v>
      </c>
      <c r="F71" s="19" t="s">
        <v>333</v>
      </c>
      <c r="I71" s="19" t="s">
        <v>334</v>
      </c>
      <c r="K71" s="19" t="s">
        <v>335</v>
      </c>
      <c r="M71" s="19" t="s">
        <v>336</v>
      </c>
      <c r="P71" s="19" t="s">
        <v>337</v>
      </c>
      <c r="Q71" s="19" t="s">
        <v>338</v>
      </c>
      <c r="R71" s="19" t="s">
        <v>339</v>
      </c>
    </row>
    <row r="72" spans="1:18">
      <c r="A72" s="19" t="s">
        <v>26</v>
      </c>
      <c r="B72" s="19" t="s">
        <v>1267</v>
      </c>
      <c r="C72" s="19" t="s">
        <v>30</v>
      </c>
      <c r="D72" s="19" t="s">
        <v>1268</v>
      </c>
      <c r="E72" s="19" t="s">
        <v>1269</v>
      </c>
      <c r="F72" s="19" t="s">
        <v>1270</v>
      </c>
      <c r="I72" s="19" t="s">
        <v>1271</v>
      </c>
      <c r="K72" s="19" t="s">
        <v>1272</v>
      </c>
      <c r="M72" s="19" t="s">
        <v>1273</v>
      </c>
      <c r="P72" s="19" t="s">
        <v>1274</v>
      </c>
      <c r="Q72" s="19" t="s">
        <v>1275</v>
      </c>
      <c r="R72" s="19" t="s">
        <v>1276</v>
      </c>
    </row>
    <row r="73" spans="1:18">
      <c r="A73" s="19" t="s">
        <v>26</v>
      </c>
      <c r="B73" s="19" t="s">
        <v>340</v>
      </c>
      <c r="C73" s="19" t="s">
        <v>30</v>
      </c>
      <c r="D73" s="19" t="s">
        <v>1277</v>
      </c>
      <c r="E73" s="19" t="s">
        <v>1278</v>
      </c>
      <c r="F73" s="19" t="s">
        <v>1279</v>
      </c>
      <c r="I73" s="19" t="s">
        <v>1280</v>
      </c>
      <c r="K73" s="19" t="s">
        <v>1281</v>
      </c>
      <c r="M73" s="19" t="s">
        <v>344</v>
      </c>
      <c r="P73" s="19" t="s">
        <v>345</v>
      </c>
      <c r="Q73" s="19" t="s">
        <v>346</v>
      </c>
      <c r="R73" s="19" t="s">
        <v>347</v>
      </c>
    </row>
    <row r="74" spans="1:18">
      <c r="A74" s="19" t="s">
        <v>26</v>
      </c>
      <c r="B74" s="19" t="s">
        <v>1282</v>
      </c>
      <c r="C74" s="19" t="s">
        <v>30</v>
      </c>
      <c r="D74" s="19" t="s">
        <v>1283</v>
      </c>
      <c r="E74" s="19" t="s">
        <v>1284</v>
      </c>
      <c r="F74" s="19" t="s">
        <v>1285</v>
      </c>
      <c r="I74" s="19" t="s">
        <v>1286</v>
      </c>
      <c r="K74" s="19" t="s">
        <v>1287</v>
      </c>
      <c r="M74" s="19" t="s">
        <v>1288</v>
      </c>
      <c r="P74" s="19" t="s">
        <v>1289</v>
      </c>
      <c r="Q74" s="19" t="s">
        <v>1290</v>
      </c>
      <c r="R74" s="19" t="s">
        <v>1291</v>
      </c>
    </row>
    <row r="75" spans="1:18">
      <c r="A75" s="19" t="s">
        <v>26</v>
      </c>
      <c r="B75" s="19" t="s">
        <v>1292</v>
      </c>
      <c r="C75" s="19" t="s">
        <v>30</v>
      </c>
      <c r="D75" s="19" t="s">
        <v>1293</v>
      </c>
      <c r="E75" s="19" t="s">
        <v>1294</v>
      </c>
      <c r="F75" s="19" t="s">
        <v>1295</v>
      </c>
      <c r="I75" s="19" t="s">
        <v>1296</v>
      </c>
      <c r="K75" s="19" t="s">
        <v>1297</v>
      </c>
      <c r="M75" s="19" t="s">
        <v>1298</v>
      </c>
      <c r="P75" s="19" t="s">
        <v>1299</v>
      </c>
      <c r="Q75" s="19" t="s">
        <v>1300</v>
      </c>
      <c r="R75" s="19" t="s">
        <v>1301</v>
      </c>
    </row>
    <row r="76" spans="1:18">
      <c r="A76" s="19" t="s">
        <v>26</v>
      </c>
      <c r="B76" s="19" t="s">
        <v>351</v>
      </c>
      <c r="C76" s="19" t="s">
        <v>30</v>
      </c>
      <c r="D76" s="19" t="s">
        <v>1302</v>
      </c>
      <c r="E76" s="19" t="s">
        <v>353</v>
      </c>
      <c r="F76" s="19" t="s">
        <v>354</v>
      </c>
      <c r="I76" s="19" t="s">
        <v>355</v>
      </c>
      <c r="K76" s="19" t="s">
        <v>356</v>
      </c>
      <c r="M76" s="19" t="s">
        <v>357</v>
      </c>
      <c r="P76" s="19" t="s">
        <v>358</v>
      </c>
      <c r="Q76" s="19" t="s">
        <v>359</v>
      </c>
      <c r="R76" s="19" t="s">
        <v>360</v>
      </c>
    </row>
    <row r="77" spans="1:18">
      <c r="A77" s="19" t="s">
        <v>26</v>
      </c>
      <c r="B77" s="19" t="s">
        <v>1303</v>
      </c>
      <c r="C77" s="19" t="s">
        <v>30</v>
      </c>
      <c r="D77" s="19" t="s">
        <v>1304</v>
      </c>
      <c r="E77" s="19" t="s">
        <v>1305</v>
      </c>
      <c r="F77" s="19" t="s">
        <v>1306</v>
      </c>
      <c r="I77" s="19" t="s">
        <v>1307</v>
      </c>
      <c r="K77" s="19" t="s">
        <v>1308</v>
      </c>
      <c r="M77" s="19" t="s">
        <v>1309</v>
      </c>
      <c r="P77" s="19" t="s">
        <v>1310</v>
      </c>
      <c r="Q77" s="19" t="s">
        <v>1311</v>
      </c>
      <c r="R77" s="19" t="s">
        <v>1312</v>
      </c>
    </row>
    <row r="78" spans="1:18">
      <c r="A78" s="19" t="s">
        <v>26</v>
      </c>
      <c r="B78" s="19" t="s">
        <v>361</v>
      </c>
      <c r="C78" s="19" t="s">
        <v>30</v>
      </c>
      <c r="D78" s="19" t="s">
        <v>1313</v>
      </c>
      <c r="E78" s="19" t="s">
        <v>1314</v>
      </c>
      <c r="F78" s="19" t="s">
        <v>1315</v>
      </c>
      <c r="I78" s="19" t="s">
        <v>1316</v>
      </c>
      <c r="K78" s="19" t="s">
        <v>1317</v>
      </c>
      <c r="M78" s="19" t="s">
        <v>365</v>
      </c>
      <c r="P78" s="19" t="s">
        <v>366</v>
      </c>
      <c r="Q78" s="19" t="s">
        <v>367</v>
      </c>
      <c r="R78" s="19" t="s">
        <v>368</v>
      </c>
    </row>
    <row r="79" spans="1:18">
      <c r="A79" s="19" t="s">
        <v>26</v>
      </c>
      <c r="B79" s="19" t="s">
        <v>1318</v>
      </c>
      <c r="C79" s="19" t="s">
        <v>30</v>
      </c>
      <c r="D79" s="19" t="s">
        <v>1319</v>
      </c>
      <c r="E79" s="19" t="s">
        <v>1320</v>
      </c>
      <c r="F79" s="19" t="s">
        <v>1321</v>
      </c>
      <c r="I79" s="19" t="s">
        <v>1322</v>
      </c>
      <c r="K79" s="19" t="s">
        <v>1323</v>
      </c>
      <c r="M79" s="19" t="s">
        <v>1324</v>
      </c>
      <c r="P79" s="19" t="s">
        <v>1325</v>
      </c>
      <c r="Q79" s="19" t="s">
        <v>1326</v>
      </c>
      <c r="R79" s="19" t="s">
        <v>1327</v>
      </c>
    </row>
    <row r="80" spans="1:18">
      <c r="A80" s="19" t="s">
        <v>26</v>
      </c>
      <c r="B80" s="19" t="s">
        <v>1328</v>
      </c>
      <c r="C80" s="19" t="s">
        <v>30</v>
      </c>
      <c r="D80" s="19" t="s">
        <v>1329</v>
      </c>
      <c r="E80" s="19" t="s">
        <v>1330</v>
      </c>
      <c r="F80" s="19" t="s">
        <v>1331</v>
      </c>
      <c r="I80" s="19" t="s">
        <v>1332</v>
      </c>
      <c r="K80" s="19" t="s">
        <v>1333</v>
      </c>
      <c r="M80" s="19" t="s">
        <v>1334</v>
      </c>
      <c r="P80" s="19" t="s">
        <v>1335</v>
      </c>
      <c r="Q80" s="19" t="s">
        <v>1336</v>
      </c>
      <c r="R80" s="19" t="s">
        <v>1337</v>
      </c>
    </row>
    <row r="81" spans="1:18">
      <c r="A81" s="19" t="s">
        <v>26</v>
      </c>
      <c r="B81" s="19" t="s">
        <v>372</v>
      </c>
      <c r="C81" s="19" t="s">
        <v>30</v>
      </c>
      <c r="D81" s="19" t="s">
        <v>1338</v>
      </c>
      <c r="E81" s="19" t="s">
        <v>374</v>
      </c>
      <c r="F81" s="19" t="s">
        <v>375</v>
      </c>
      <c r="I81" s="19" t="s">
        <v>376</v>
      </c>
      <c r="K81" s="19" t="s">
        <v>377</v>
      </c>
      <c r="M81" s="19" t="s">
        <v>378</v>
      </c>
      <c r="P81" s="19" t="s">
        <v>379</v>
      </c>
      <c r="Q81" s="19" t="s">
        <v>380</v>
      </c>
      <c r="R81" s="19" t="s">
        <v>381</v>
      </c>
    </row>
    <row r="82" spans="1:18">
      <c r="A82" s="19" t="s">
        <v>26</v>
      </c>
      <c r="B82" s="19" t="s">
        <v>1339</v>
      </c>
      <c r="C82" s="19" t="s">
        <v>30</v>
      </c>
      <c r="D82" s="19" t="s">
        <v>1340</v>
      </c>
      <c r="E82" s="19" t="s">
        <v>1341</v>
      </c>
      <c r="F82" s="19" t="s">
        <v>1342</v>
      </c>
      <c r="I82" s="19" t="s">
        <v>1343</v>
      </c>
      <c r="K82" s="19" t="s">
        <v>1344</v>
      </c>
      <c r="M82" s="19" t="s">
        <v>1345</v>
      </c>
      <c r="P82" s="19" t="s">
        <v>1346</v>
      </c>
      <c r="Q82" s="19" t="s">
        <v>1347</v>
      </c>
      <c r="R82" s="19" t="s">
        <v>1348</v>
      </c>
    </row>
    <row r="83" spans="1:18">
      <c r="A83" s="19" t="s">
        <v>26</v>
      </c>
      <c r="B83" s="19" t="s">
        <v>382</v>
      </c>
      <c r="C83" s="19" t="s">
        <v>30</v>
      </c>
      <c r="D83" s="19" t="s">
        <v>1349</v>
      </c>
      <c r="E83" s="19" t="s">
        <v>1350</v>
      </c>
      <c r="F83" s="19" t="s">
        <v>1351</v>
      </c>
      <c r="I83" s="19" t="s">
        <v>1352</v>
      </c>
      <c r="K83" s="19" t="s">
        <v>1353</v>
      </c>
      <c r="M83" s="19" t="s">
        <v>386</v>
      </c>
      <c r="P83" s="19" t="s">
        <v>387</v>
      </c>
      <c r="Q83" s="19" t="s">
        <v>388</v>
      </c>
      <c r="R83" s="19" t="s">
        <v>389</v>
      </c>
    </row>
    <row r="84" spans="1:18">
      <c r="A84" s="19" t="s">
        <v>26</v>
      </c>
      <c r="B84" s="19" t="s">
        <v>1354</v>
      </c>
      <c r="C84" s="19" t="s">
        <v>30</v>
      </c>
      <c r="D84" s="19" t="s">
        <v>1355</v>
      </c>
      <c r="E84" s="19" t="s">
        <v>1356</v>
      </c>
      <c r="F84" s="19" t="s">
        <v>1357</v>
      </c>
      <c r="I84" s="19" t="s">
        <v>1358</v>
      </c>
      <c r="K84" s="19" t="s">
        <v>1359</v>
      </c>
      <c r="M84" s="19" t="s">
        <v>1360</v>
      </c>
      <c r="P84" s="19" t="s">
        <v>1361</v>
      </c>
      <c r="Q84" s="19" t="s">
        <v>1362</v>
      </c>
      <c r="R84" s="19" t="s">
        <v>1363</v>
      </c>
    </row>
    <row r="85" spans="1:18">
      <c r="A85" s="19" t="s">
        <v>26</v>
      </c>
      <c r="B85" s="19" t="s">
        <v>1364</v>
      </c>
      <c r="C85" s="19" t="s">
        <v>30</v>
      </c>
      <c r="D85" s="19" t="s">
        <v>1365</v>
      </c>
      <c r="E85" s="19" t="s">
        <v>1366</v>
      </c>
      <c r="F85" s="19" t="s">
        <v>1367</v>
      </c>
      <c r="I85" s="19" t="s">
        <v>1368</v>
      </c>
      <c r="K85" s="19" t="s">
        <v>1369</v>
      </c>
      <c r="M85" s="19" t="s">
        <v>1370</v>
      </c>
      <c r="P85" s="19" t="s">
        <v>1371</v>
      </c>
      <c r="Q85" s="19" t="s">
        <v>1372</v>
      </c>
      <c r="R85" s="19" t="s">
        <v>1373</v>
      </c>
    </row>
    <row r="86" spans="1:18">
      <c r="A86" s="19" t="s">
        <v>26</v>
      </c>
      <c r="B86" s="19" t="s">
        <v>393</v>
      </c>
      <c r="C86" s="19" t="s">
        <v>30</v>
      </c>
      <c r="D86" s="19" t="s">
        <v>1374</v>
      </c>
      <c r="E86" s="19" t="s">
        <v>395</v>
      </c>
      <c r="F86" s="19" t="s">
        <v>396</v>
      </c>
      <c r="I86" s="19" t="s">
        <v>397</v>
      </c>
      <c r="K86" s="19" t="s">
        <v>398</v>
      </c>
      <c r="M86" s="19" t="s">
        <v>399</v>
      </c>
      <c r="P86" s="19" t="s">
        <v>400</v>
      </c>
      <c r="Q86" s="19" t="s">
        <v>401</v>
      </c>
      <c r="R86" s="19" t="s">
        <v>402</v>
      </c>
    </row>
    <row r="87" spans="1:18">
      <c r="A87" s="19" t="s">
        <v>26</v>
      </c>
      <c r="B87" s="19" t="s">
        <v>1375</v>
      </c>
      <c r="C87" s="19" t="s">
        <v>30</v>
      </c>
      <c r="D87" s="19" t="s">
        <v>1376</v>
      </c>
      <c r="E87" s="19" t="s">
        <v>1377</v>
      </c>
      <c r="F87" s="19" t="s">
        <v>1378</v>
      </c>
      <c r="I87" s="19" t="s">
        <v>1379</v>
      </c>
      <c r="K87" s="19" t="s">
        <v>1380</v>
      </c>
      <c r="M87" s="19" t="s">
        <v>1381</v>
      </c>
      <c r="P87" s="19" t="s">
        <v>1382</v>
      </c>
      <c r="Q87" s="19" t="s">
        <v>1383</v>
      </c>
      <c r="R87" s="19" t="s">
        <v>1384</v>
      </c>
    </row>
    <row r="88" spans="1:18">
      <c r="A88" s="19" t="s">
        <v>26</v>
      </c>
      <c r="B88" s="19" t="s">
        <v>403</v>
      </c>
      <c r="C88" s="19" t="s">
        <v>30</v>
      </c>
      <c r="D88" s="19" t="s">
        <v>1385</v>
      </c>
      <c r="E88" s="19" t="s">
        <v>1386</v>
      </c>
      <c r="F88" s="19" t="s">
        <v>1387</v>
      </c>
      <c r="I88" s="19" t="s">
        <v>1388</v>
      </c>
      <c r="K88" s="19" t="s">
        <v>1389</v>
      </c>
      <c r="M88" s="19" t="s">
        <v>407</v>
      </c>
      <c r="P88" s="19" t="s">
        <v>408</v>
      </c>
      <c r="Q88" s="19" t="s">
        <v>409</v>
      </c>
      <c r="R88" s="19" t="s">
        <v>410</v>
      </c>
    </row>
    <row r="89" spans="1:18">
      <c r="A89" s="19" t="s">
        <v>26</v>
      </c>
      <c r="B89" s="19" t="s">
        <v>1390</v>
      </c>
      <c r="C89" s="19" t="s">
        <v>30</v>
      </c>
      <c r="D89" s="19" t="s">
        <v>1391</v>
      </c>
      <c r="E89" s="19" t="s">
        <v>1392</v>
      </c>
      <c r="F89" s="19" t="s">
        <v>1393</v>
      </c>
      <c r="I89" s="19" t="s">
        <v>1394</v>
      </c>
      <c r="K89" s="19" t="s">
        <v>1395</v>
      </c>
      <c r="M89" s="19" t="s">
        <v>1396</v>
      </c>
      <c r="P89" s="19" t="s">
        <v>1397</v>
      </c>
      <c r="Q89" s="19" t="s">
        <v>1398</v>
      </c>
      <c r="R89" s="19" t="s">
        <v>1399</v>
      </c>
    </row>
    <row r="90" spans="1:18">
      <c r="A90" s="19" t="s">
        <v>26</v>
      </c>
      <c r="B90" s="19" t="s">
        <v>1400</v>
      </c>
      <c r="C90" s="19" t="s">
        <v>30</v>
      </c>
      <c r="D90" s="19" t="s">
        <v>1401</v>
      </c>
      <c r="E90" s="19" t="s">
        <v>1402</v>
      </c>
      <c r="F90" s="19" t="s">
        <v>1403</v>
      </c>
      <c r="I90" s="19" t="s">
        <v>1404</v>
      </c>
      <c r="K90" s="19" t="s">
        <v>1405</v>
      </c>
      <c r="M90" s="19" t="s">
        <v>1406</v>
      </c>
      <c r="P90" s="19" t="s">
        <v>1407</v>
      </c>
      <c r="Q90" s="19" t="s">
        <v>1408</v>
      </c>
      <c r="R90" s="19" t="s">
        <v>1409</v>
      </c>
    </row>
    <row r="91" spans="1:18">
      <c r="A91" s="19" t="s">
        <v>26</v>
      </c>
      <c r="B91" s="19" t="s">
        <v>414</v>
      </c>
      <c r="C91" s="19" t="s">
        <v>30</v>
      </c>
      <c r="D91" s="19" t="s">
        <v>1410</v>
      </c>
      <c r="E91" s="19" t="s">
        <v>416</v>
      </c>
      <c r="F91" s="19" t="s">
        <v>417</v>
      </c>
      <c r="I91" s="19" t="s">
        <v>418</v>
      </c>
      <c r="K91" s="19" t="s">
        <v>419</v>
      </c>
      <c r="M91" s="19" t="s">
        <v>420</v>
      </c>
      <c r="P91" s="19" t="s">
        <v>421</v>
      </c>
      <c r="Q91" s="19" t="s">
        <v>422</v>
      </c>
      <c r="R91" s="19" t="s">
        <v>423</v>
      </c>
    </row>
    <row r="92" spans="1:18">
      <c r="A92" s="19" t="s">
        <v>26</v>
      </c>
      <c r="B92" s="19" t="s">
        <v>1411</v>
      </c>
      <c r="C92" s="19" t="s">
        <v>30</v>
      </c>
      <c r="D92" s="19" t="s">
        <v>1412</v>
      </c>
      <c r="E92" s="19" t="s">
        <v>1413</v>
      </c>
      <c r="F92" s="19" t="s">
        <v>1414</v>
      </c>
      <c r="I92" s="19" t="s">
        <v>1415</v>
      </c>
      <c r="K92" s="19" t="s">
        <v>1416</v>
      </c>
      <c r="M92" s="19" t="s">
        <v>1417</v>
      </c>
      <c r="P92" s="19" t="s">
        <v>1418</v>
      </c>
      <c r="Q92" s="19" t="s">
        <v>1419</v>
      </c>
      <c r="R92" s="19" t="s">
        <v>1420</v>
      </c>
    </row>
    <row r="93" spans="1:18">
      <c r="A93" s="19" t="s">
        <v>26</v>
      </c>
      <c r="B93" s="19" t="s">
        <v>424</v>
      </c>
      <c r="C93" s="19" t="s">
        <v>30</v>
      </c>
      <c r="D93" s="19" t="s">
        <v>1421</v>
      </c>
      <c r="E93" s="19" t="s">
        <v>1422</v>
      </c>
      <c r="F93" s="19" t="s">
        <v>1423</v>
      </c>
      <c r="I93" s="19" t="s">
        <v>1424</v>
      </c>
      <c r="K93" s="19" t="s">
        <v>1425</v>
      </c>
      <c r="M93" s="19" t="s">
        <v>428</v>
      </c>
      <c r="P93" s="19" t="s">
        <v>429</v>
      </c>
      <c r="Q93" s="19" t="s">
        <v>430</v>
      </c>
      <c r="R93" s="19" t="s">
        <v>431</v>
      </c>
    </row>
    <row r="94" spans="1:18">
      <c r="A94" s="19" t="s">
        <v>26</v>
      </c>
      <c r="B94" s="19" t="s">
        <v>1426</v>
      </c>
      <c r="C94" s="19" t="s">
        <v>30</v>
      </c>
      <c r="D94" s="19" t="s">
        <v>1427</v>
      </c>
      <c r="E94" s="19" t="s">
        <v>1428</v>
      </c>
      <c r="F94" s="19" t="s">
        <v>1429</v>
      </c>
      <c r="I94" s="19" t="s">
        <v>1430</v>
      </c>
      <c r="K94" s="19" t="s">
        <v>1431</v>
      </c>
      <c r="M94" s="19" t="s">
        <v>1432</v>
      </c>
      <c r="P94" s="19" t="s">
        <v>1433</v>
      </c>
      <c r="Q94" s="19" t="s">
        <v>1434</v>
      </c>
      <c r="R94" s="19" t="s">
        <v>1435</v>
      </c>
    </row>
    <row r="95" spans="1:18">
      <c r="A95" s="19" t="s">
        <v>26</v>
      </c>
      <c r="B95" s="19" t="s">
        <v>1436</v>
      </c>
      <c r="C95" s="19" t="s">
        <v>30</v>
      </c>
      <c r="D95" s="19" t="s">
        <v>1437</v>
      </c>
      <c r="E95" s="19" t="s">
        <v>1438</v>
      </c>
      <c r="F95" s="19" t="s">
        <v>1439</v>
      </c>
      <c r="I95" s="19" t="s">
        <v>1440</v>
      </c>
      <c r="K95" s="19" t="s">
        <v>1441</v>
      </c>
      <c r="M95" s="19" t="s">
        <v>1442</v>
      </c>
      <c r="P95" s="19" t="s">
        <v>1443</v>
      </c>
      <c r="Q95" s="19" t="s">
        <v>1444</v>
      </c>
      <c r="R95" s="19" t="s">
        <v>1445</v>
      </c>
    </row>
    <row r="96" spans="1:18">
      <c r="A96" s="19" t="s">
        <v>26</v>
      </c>
      <c r="B96" s="19" t="s">
        <v>435</v>
      </c>
      <c r="C96" s="19" t="s">
        <v>30</v>
      </c>
      <c r="D96" s="19" t="s">
        <v>1446</v>
      </c>
      <c r="E96" s="19" t="s">
        <v>437</v>
      </c>
      <c r="F96" s="19" t="s">
        <v>438</v>
      </c>
      <c r="I96" s="19" t="s">
        <v>439</v>
      </c>
      <c r="K96" s="19" t="s">
        <v>440</v>
      </c>
      <c r="M96" s="19" t="s">
        <v>441</v>
      </c>
      <c r="P96" s="19" t="s">
        <v>442</v>
      </c>
      <c r="Q96" s="19" t="s">
        <v>443</v>
      </c>
      <c r="R96" s="19" t="s">
        <v>444</v>
      </c>
    </row>
    <row r="97" spans="1:18">
      <c r="A97" s="19" t="s">
        <v>26</v>
      </c>
      <c r="B97" s="19" t="s">
        <v>1447</v>
      </c>
      <c r="C97" s="19" t="s">
        <v>30</v>
      </c>
      <c r="D97" s="19" t="s">
        <v>1448</v>
      </c>
      <c r="E97" s="19" t="s">
        <v>1449</v>
      </c>
      <c r="F97" s="19" t="s">
        <v>1450</v>
      </c>
      <c r="I97" s="19" t="s">
        <v>1451</v>
      </c>
      <c r="K97" s="19" t="s">
        <v>1452</v>
      </c>
      <c r="M97" s="19" t="s">
        <v>1453</v>
      </c>
      <c r="P97" s="19" t="s">
        <v>1454</v>
      </c>
      <c r="Q97" s="19" t="s">
        <v>1455</v>
      </c>
      <c r="R97" s="19" t="s">
        <v>1456</v>
      </c>
    </row>
    <row r="98" spans="1:18">
      <c r="A98" s="19" t="s">
        <v>26</v>
      </c>
      <c r="B98" s="19" t="s">
        <v>445</v>
      </c>
      <c r="C98" s="19" t="s">
        <v>30</v>
      </c>
      <c r="D98" s="19" t="s">
        <v>1457</v>
      </c>
      <c r="E98" s="19" t="s">
        <v>1458</v>
      </c>
      <c r="F98" s="19" t="s">
        <v>1459</v>
      </c>
      <c r="I98" s="19" t="s">
        <v>1460</v>
      </c>
      <c r="K98" s="19" t="s">
        <v>1461</v>
      </c>
      <c r="M98" s="19" t="s">
        <v>449</v>
      </c>
      <c r="P98" s="19" t="s">
        <v>450</v>
      </c>
      <c r="Q98" s="19" t="s">
        <v>451</v>
      </c>
      <c r="R98" s="19" t="s">
        <v>452</v>
      </c>
    </row>
    <row r="99" spans="1:18">
      <c r="A99" s="19" t="s">
        <v>26</v>
      </c>
      <c r="B99" s="19" t="s">
        <v>1462</v>
      </c>
      <c r="C99" s="19" t="s">
        <v>30</v>
      </c>
      <c r="D99" s="19" t="s">
        <v>1463</v>
      </c>
      <c r="E99" s="19" t="s">
        <v>1464</v>
      </c>
      <c r="F99" s="19" t="s">
        <v>1465</v>
      </c>
      <c r="I99" s="19" t="s">
        <v>1466</v>
      </c>
      <c r="K99" s="19" t="s">
        <v>1467</v>
      </c>
      <c r="M99" s="19" t="s">
        <v>1468</v>
      </c>
      <c r="P99" s="19" t="s">
        <v>1469</v>
      </c>
      <c r="Q99" s="19" t="s">
        <v>1470</v>
      </c>
      <c r="R99" s="19" t="s">
        <v>1471</v>
      </c>
    </row>
    <row r="100" spans="1:18">
      <c r="A100" s="19" t="s">
        <v>26</v>
      </c>
      <c r="B100" s="19" t="s">
        <v>1472</v>
      </c>
      <c r="C100" s="19" t="s">
        <v>30</v>
      </c>
      <c r="D100" s="19" t="s">
        <v>1473</v>
      </c>
      <c r="E100" s="19" t="s">
        <v>1474</v>
      </c>
      <c r="F100" s="19" t="s">
        <v>1475</v>
      </c>
      <c r="I100" s="19" t="s">
        <v>1476</v>
      </c>
      <c r="K100" s="19" t="s">
        <v>1477</v>
      </c>
      <c r="M100" s="19" t="s">
        <v>1478</v>
      </c>
      <c r="P100" s="19" t="s">
        <v>1479</v>
      </c>
      <c r="Q100" s="19" t="s">
        <v>1480</v>
      </c>
      <c r="R100" s="19" t="s">
        <v>1481</v>
      </c>
    </row>
    <row r="101" spans="1:18">
      <c r="A101" s="19" t="s">
        <v>26</v>
      </c>
      <c r="B101" s="19" t="s">
        <v>456</v>
      </c>
      <c r="C101" s="19" t="s">
        <v>30</v>
      </c>
      <c r="D101" s="19" t="s">
        <v>1482</v>
      </c>
      <c r="E101" s="19" t="s">
        <v>458</v>
      </c>
      <c r="F101" s="19" t="s">
        <v>459</v>
      </c>
      <c r="I101" s="19" t="s">
        <v>460</v>
      </c>
      <c r="K101" s="19" t="s">
        <v>461</v>
      </c>
      <c r="M101" s="19" t="s">
        <v>462</v>
      </c>
      <c r="P101" s="19" t="s">
        <v>463</v>
      </c>
      <c r="Q101" s="19" t="s">
        <v>464</v>
      </c>
      <c r="R101" s="19" t="s">
        <v>465</v>
      </c>
    </row>
    <row r="102" spans="1:18">
      <c r="A102" s="19" t="s">
        <v>26</v>
      </c>
      <c r="B102" s="19" t="s">
        <v>1483</v>
      </c>
      <c r="C102" s="19" t="s">
        <v>30</v>
      </c>
      <c r="D102" s="19" t="s">
        <v>1484</v>
      </c>
      <c r="E102" s="19" t="s">
        <v>1485</v>
      </c>
      <c r="F102" s="19" t="s">
        <v>1486</v>
      </c>
      <c r="I102" s="19" t="s">
        <v>1487</v>
      </c>
      <c r="K102" s="19" t="s">
        <v>1488</v>
      </c>
      <c r="M102" s="19" t="s">
        <v>1489</v>
      </c>
      <c r="P102" s="19" t="s">
        <v>1490</v>
      </c>
      <c r="Q102" s="19" t="s">
        <v>1491</v>
      </c>
      <c r="R102" s="19" t="s">
        <v>1492</v>
      </c>
    </row>
    <row r="103" spans="1:18">
      <c r="A103" s="19" t="s">
        <v>26</v>
      </c>
      <c r="B103" s="19" t="s">
        <v>466</v>
      </c>
      <c r="C103" s="19" t="s">
        <v>30</v>
      </c>
      <c r="D103" s="19" t="s">
        <v>1493</v>
      </c>
      <c r="E103" s="19" t="s">
        <v>1494</v>
      </c>
      <c r="F103" s="19" t="s">
        <v>1495</v>
      </c>
      <c r="I103" s="19" t="s">
        <v>1496</v>
      </c>
      <c r="K103" s="19" t="s">
        <v>1497</v>
      </c>
      <c r="M103" s="19" t="s">
        <v>470</v>
      </c>
      <c r="P103" s="19" t="s">
        <v>471</v>
      </c>
      <c r="Q103" s="19" t="s">
        <v>472</v>
      </c>
      <c r="R103" s="19" t="s">
        <v>473</v>
      </c>
    </row>
    <row r="104" spans="1:18">
      <c r="A104" s="19" t="s">
        <v>26</v>
      </c>
      <c r="B104" s="19" t="s">
        <v>1498</v>
      </c>
      <c r="C104" s="19" t="s">
        <v>30</v>
      </c>
      <c r="D104" s="19" t="s">
        <v>1499</v>
      </c>
      <c r="E104" s="19" t="s">
        <v>1500</v>
      </c>
      <c r="F104" s="19" t="s">
        <v>1501</v>
      </c>
      <c r="I104" s="19" t="s">
        <v>1502</v>
      </c>
      <c r="K104" s="19" t="s">
        <v>1503</v>
      </c>
      <c r="M104" s="19" t="s">
        <v>1504</v>
      </c>
      <c r="P104" s="19" t="s">
        <v>1505</v>
      </c>
      <c r="Q104" s="19" t="s">
        <v>1506</v>
      </c>
      <c r="R104" s="19" t="s">
        <v>1507</v>
      </c>
    </row>
    <row r="105" spans="1:18">
      <c r="A105" s="19" t="s">
        <v>26</v>
      </c>
      <c r="B105" s="19" t="s">
        <v>1508</v>
      </c>
      <c r="C105" s="19" t="s">
        <v>30</v>
      </c>
      <c r="D105" s="19" t="s">
        <v>1509</v>
      </c>
      <c r="E105" s="19" t="s">
        <v>1510</v>
      </c>
      <c r="F105" s="19" t="s">
        <v>1511</v>
      </c>
      <c r="I105" s="19" t="s">
        <v>1512</v>
      </c>
      <c r="K105" s="19" t="s">
        <v>1513</v>
      </c>
      <c r="M105" s="19" t="s">
        <v>1514</v>
      </c>
      <c r="P105" s="19" t="s">
        <v>1515</v>
      </c>
      <c r="Q105" s="19" t="s">
        <v>1516</v>
      </c>
      <c r="R105" s="19" t="s">
        <v>1517</v>
      </c>
    </row>
    <row r="106" spans="1:18">
      <c r="A106" s="19" t="s">
        <v>26</v>
      </c>
      <c r="B106" s="19" t="s">
        <v>477</v>
      </c>
      <c r="C106" s="19" t="s">
        <v>30</v>
      </c>
      <c r="D106" s="19" t="s">
        <v>1518</v>
      </c>
      <c r="E106" s="19" t="s">
        <v>479</v>
      </c>
      <c r="F106" s="19" t="s">
        <v>480</v>
      </c>
      <c r="I106" s="19" t="s">
        <v>481</v>
      </c>
      <c r="K106" s="19" t="s">
        <v>482</v>
      </c>
      <c r="M106" s="19" t="s">
        <v>483</v>
      </c>
      <c r="P106" s="19" t="s">
        <v>484</v>
      </c>
      <c r="Q106" s="19" t="s">
        <v>485</v>
      </c>
      <c r="R106" s="19" t="s">
        <v>486</v>
      </c>
    </row>
    <row r="107" spans="1:18">
      <c r="A107" s="19" t="s">
        <v>26</v>
      </c>
      <c r="B107" s="19" t="s">
        <v>1519</v>
      </c>
      <c r="C107" s="19" t="s">
        <v>30</v>
      </c>
      <c r="D107" s="19" t="s">
        <v>1520</v>
      </c>
      <c r="E107" s="19" t="s">
        <v>1521</v>
      </c>
      <c r="F107" s="19" t="s">
        <v>1522</v>
      </c>
      <c r="I107" s="19" t="s">
        <v>1523</v>
      </c>
      <c r="K107" s="19" t="s">
        <v>1524</v>
      </c>
      <c r="M107" s="19" t="s">
        <v>1525</v>
      </c>
      <c r="P107" s="19" t="s">
        <v>1526</v>
      </c>
      <c r="Q107" s="19" t="s">
        <v>1527</v>
      </c>
      <c r="R107" s="19" t="s">
        <v>1528</v>
      </c>
    </row>
    <row r="108" spans="1:18">
      <c r="A108" s="19" t="s">
        <v>26</v>
      </c>
      <c r="B108" s="19" t="s">
        <v>487</v>
      </c>
      <c r="C108" s="19" t="s">
        <v>30</v>
      </c>
      <c r="D108" s="19" t="s">
        <v>1529</v>
      </c>
      <c r="E108" s="19" t="s">
        <v>1530</v>
      </c>
      <c r="F108" s="19" t="s">
        <v>1531</v>
      </c>
      <c r="I108" s="19" t="s">
        <v>1532</v>
      </c>
      <c r="K108" s="19" t="s">
        <v>1533</v>
      </c>
      <c r="M108" s="19" t="s">
        <v>491</v>
      </c>
      <c r="P108" s="19" t="s">
        <v>492</v>
      </c>
      <c r="Q108" s="19" t="s">
        <v>493</v>
      </c>
      <c r="R108" s="19" t="s">
        <v>494</v>
      </c>
    </row>
    <row r="109" spans="1:18">
      <c r="A109" s="19" t="s">
        <v>26</v>
      </c>
      <c r="B109" s="19" t="s">
        <v>1534</v>
      </c>
      <c r="C109" s="19" t="s">
        <v>30</v>
      </c>
      <c r="D109" s="19" t="s">
        <v>1535</v>
      </c>
      <c r="E109" s="19" t="s">
        <v>1536</v>
      </c>
      <c r="F109" s="19" t="s">
        <v>1537</v>
      </c>
      <c r="I109" s="19" t="s">
        <v>1538</v>
      </c>
      <c r="K109" s="19" t="s">
        <v>1539</v>
      </c>
      <c r="M109" s="19" t="s">
        <v>1540</v>
      </c>
      <c r="P109" s="19" t="s">
        <v>1541</v>
      </c>
      <c r="Q109" s="19" t="s">
        <v>1542</v>
      </c>
      <c r="R109" s="19" t="s">
        <v>1543</v>
      </c>
    </row>
    <row r="110" spans="1:18">
      <c r="A110" s="19" t="s">
        <v>26</v>
      </c>
      <c r="B110" s="19" t="s">
        <v>495</v>
      </c>
      <c r="C110" s="19" t="s">
        <v>30</v>
      </c>
      <c r="D110" s="19" t="s">
        <v>1544</v>
      </c>
      <c r="E110" s="19" t="s">
        <v>1545</v>
      </c>
      <c r="F110" s="19" t="s">
        <v>1546</v>
      </c>
      <c r="I110" s="19" t="s">
        <v>1547</v>
      </c>
      <c r="K110" s="19" t="s">
        <v>1548</v>
      </c>
      <c r="M110" s="19" t="s">
        <v>498</v>
      </c>
      <c r="P110" s="19" t="s">
        <v>85</v>
      </c>
      <c r="Q110" s="19" t="s">
        <v>86</v>
      </c>
      <c r="R110" s="19" t="s">
        <v>499</v>
      </c>
    </row>
    <row r="111" spans="1:18">
      <c r="A111" s="19" t="s">
        <v>26</v>
      </c>
      <c r="B111" s="19" t="s">
        <v>1549</v>
      </c>
      <c r="C111" s="19" t="s">
        <v>30</v>
      </c>
      <c r="D111" s="19" t="s">
        <v>1550</v>
      </c>
      <c r="E111" s="19" t="s">
        <v>1551</v>
      </c>
      <c r="F111" s="19" t="s">
        <v>1552</v>
      </c>
      <c r="I111" s="19" t="s">
        <v>1553</v>
      </c>
      <c r="K111" s="19" t="s">
        <v>1554</v>
      </c>
      <c r="M111" s="19" t="s">
        <v>1555</v>
      </c>
      <c r="P111" s="19" t="s">
        <v>1556</v>
      </c>
      <c r="Q111" s="19" t="s">
        <v>1557</v>
      </c>
      <c r="R111" s="19" t="s">
        <v>1558</v>
      </c>
    </row>
    <row r="112" spans="1:18">
      <c r="A112" s="19" t="s">
        <v>26</v>
      </c>
      <c r="B112" s="19" t="s">
        <v>1559</v>
      </c>
      <c r="C112" s="19" t="s">
        <v>30</v>
      </c>
      <c r="D112" s="19" t="s">
        <v>1560</v>
      </c>
      <c r="E112" s="19" t="s">
        <v>1561</v>
      </c>
      <c r="F112" s="19" t="s">
        <v>1562</v>
      </c>
      <c r="I112" s="19" t="s">
        <v>1563</v>
      </c>
      <c r="K112" s="19" t="s">
        <v>1564</v>
      </c>
      <c r="M112" s="19" t="s">
        <v>1565</v>
      </c>
      <c r="P112" s="19" t="s">
        <v>1566</v>
      </c>
      <c r="Q112" s="19" t="s">
        <v>1567</v>
      </c>
      <c r="R112" s="19" t="s">
        <v>1568</v>
      </c>
    </row>
    <row r="113" spans="1:18">
      <c r="A113" s="19" t="s">
        <v>26</v>
      </c>
      <c r="B113" s="19" t="s">
        <v>1569</v>
      </c>
      <c r="C113" s="19" t="s">
        <v>30</v>
      </c>
      <c r="D113" s="19" t="s">
        <v>1570</v>
      </c>
      <c r="E113" s="19" t="s">
        <v>1571</v>
      </c>
      <c r="F113" s="19" t="s">
        <v>1572</v>
      </c>
      <c r="I113" s="19" t="s">
        <v>1573</v>
      </c>
      <c r="K113" s="19" t="s">
        <v>1574</v>
      </c>
      <c r="M113" s="19" t="s">
        <v>1575</v>
      </c>
      <c r="P113" s="19" t="s">
        <v>1576</v>
      </c>
      <c r="Q113" s="19" t="s">
        <v>1577</v>
      </c>
      <c r="R113" s="19" t="s">
        <v>1578</v>
      </c>
    </row>
    <row r="114" spans="1:18">
      <c r="A114" s="19" t="s">
        <v>26</v>
      </c>
      <c r="B114" s="19" t="s">
        <v>1579</v>
      </c>
      <c r="C114" s="19" t="s">
        <v>30</v>
      </c>
      <c r="D114" s="19" t="s">
        <v>1580</v>
      </c>
      <c r="E114" s="19" t="s">
        <v>1581</v>
      </c>
      <c r="F114" s="19" t="s">
        <v>1582</v>
      </c>
      <c r="I114" s="19" t="s">
        <v>1583</v>
      </c>
      <c r="K114" s="19" t="s">
        <v>1584</v>
      </c>
      <c r="M114" s="19" t="s">
        <v>1585</v>
      </c>
      <c r="P114" s="19" t="s">
        <v>1586</v>
      </c>
      <c r="Q114" s="19" t="s">
        <v>1587</v>
      </c>
      <c r="R114" s="19" t="s">
        <v>1588</v>
      </c>
    </row>
    <row r="115" spans="1:18">
      <c r="A115" s="19" t="s">
        <v>26</v>
      </c>
      <c r="B115" s="19" t="s">
        <v>1589</v>
      </c>
      <c r="C115" s="19" t="s">
        <v>30</v>
      </c>
      <c r="D115" s="19" t="s">
        <v>1590</v>
      </c>
      <c r="E115" s="19" t="s">
        <v>1591</v>
      </c>
      <c r="F115" s="19" t="s">
        <v>1592</v>
      </c>
      <c r="I115" s="19" t="s">
        <v>1593</v>
      </c>
      <c r="K115" s="19" t="s">
        <v>1594</v>
      </c>
      <c r="M115" s="19" t="s">
        <v>1595</v>
      </c>
      <c r="P115" s="19" t="s">
        <v>1596</v>
      </c>
      <c r="Q115" s="19" t="s">
        <v>1597</v>
      </c>
      <c r="R115" s="19" t="s">
        <v>1598</v>
      </c>
    </row>
    <row r="116" spans="1:18">
      <c r="A116" s="19" t="s">
        <v>26</v>
      </c>
      <c r="B116" s="19" t="s">
        <v>503</v>
      </c>
      <c r="C116" s="19" t="s">
        <v>30</v>
      </c>
      <c r="D116" s="19" t="s">
        <v>1599</v>
      </c>
      <c r="E116" s="19" t="s">
        <v>505</v>
      </c>
      <c r="F116" s="19" t="s">
        <v>506</v>
      </c>
      <c r="I116" s="19" t="s">
        <v>1600</v>
      </c>
      <c r="K116" s="19" t="s">
        <v>1601</v>
      </c>
      <c r="M116" s="19" t="s">
        <v>509</v>
      </c>
      <c r="P116" s="19" t="s">
        <v>510</v>
      </c>
      <c r="Q116" s="19" t="s">
        <v>511</v>
      </c>
      <c r="R116" s="19" t="s">
        <v>512</v>
      </c>
    </row>
    <row r="117" spans="1:18">
      <c r="A117" s="19" t="s">
        <v>26</v>
      </c>
      <c r="B117" s="19" t="s">
        <v>1602</v>
      </c>
      <c r="C117" s="19" t="s">
        <v>30</v>
      </c>
      <c r="D117" s="19" t="s">
        <v>1603</v>
      </c>
      <c r="E117" s="19" t="s">
        <v>1604</v>
      </c>
      <c r="F117" s="19" t="s">
        <v>1605</v>
      </c>
      <c r="I117" s="19" t="s">
        <v>1606</v>
      </c>
      <c r="K117" s="19" t="s">
        <v>1607</v>
      </c>
      <c r="M117" s="19" t="s">
        <v>1608</v>
      </c>
      <c r="P117" s="19" t="s">
        <v>1609</v>
      </c>
      <c r="Q117" s="19" t="s">
        <v>1610</v>
      </c>
      <c r="R117" s="19" t="s">
        <v>1611</v>
      </c>
    </row>
    <row r="118" spans="1:18">
      <c r="A118" s="19" t="s">
        <v>26</v>
      </c>
      <c r="B118" s="19" t="s">
        <v>513</v>
      </c>
      <c r="C118" s="19" t="s">
        <v>30</v>
      </c>
      <c r="D118" s="19" t="s">
        <v>1612</v>
      </c>
      <c r="E118" s="19" t="s">
        <v>1613</v>
      </c>
      <c r="F118" s="19" t="s">
        <v>1614</v>
      </c>
      <c r="I118" s="19" t="s">
        <v>1615</v>
      </c>
      <c r="K118" s="19" t="s">
        <v>1616</v>
      </c>
      <c r="M118" s="19" t="s">
        <v>517</v>
      </c>
      <c r="P118" s="19" t="s">
        <v>518</v>
      </c>
      <c r="Q118" s="19" t="s">
        <v>519</v>
      </c>
      <c r="R118" s="19" t="s">
        <v>520</v>
      </c>
    </row>
    <row r="119" spans="1:18">
      <c r="A119" s="19" t="s">
        <v>26</v>
      </c>
      <c r="B119" s="19" t="s">
        <v>1617</v>
      </c>
      <c r="C119" s="19" t="s">
        <v>30</v>
      </c>
      <c r="D119" s="19" t="s">
        <v>1618</v>
      </c>
      <c r="E119" s="19" t="s">
        <v>1619</v>
      </c>
      <c r="F119" s="19" t="s">
        <v>1620</v>
      </c>
      <c r="I119" s="19" t="s">
        <v>1621</v>
      </c>
      <c r="K119" s="19" t="s">
        <v>1622</v>
      </c>
      <c r="M119" s="19" t="s">
        <v>1623</v>
      </c>
      <c r="P119" s="19" t="s">
        <v>1624</v>
      </c>
      <c r="Q119" s="19" t="s">
        <v>1625</v>
      </c>
      <c r="R119" s="19" t="s">
        <v>1626</v>
      </c>
    </row>
    <row r="120" spans="1:18">
      <c r="A120" s="19" t="s">
        <v>26</v>
      </c>
      <c r="B120" s="19" t="s">
        <v>1627</v>
      </c>
      <c r="C120" s="19" t="s">
        <v>30</v>
      </c>
      <c r="D120" s="19" t="s">
        <v>1628</v>
      </c>
      <c r="E120" s="19" t="s">
        <v>1629</v>
      </c>
      <c r="F120" s="19" t="s">
        <v>1630</v>
      </c>
      <c r="I120" s="19" t="s">
        <v>1631</v>
      </c>
      <c r="K120" s="19" t="s">
        <v>1632</v>
      </c>
      <c r="M120" s="19" t="s">
        <v>1633</v>
      </c>
      <c r="P120" s="19" t="s">
        <v>1634</v>
      </c>
      <c r="Q120" s="19" t="s">
        <v>1635</v>
      </c>
      <c r="R120" s="19" t="s">
        <v>1636</v>
      </c>
    </row>
    <row r="121" spans="1:18">
      <c r="A121" s="19" t="s">
        <v>26</v>
      </c>
      <c r="B121" s="19" t="s">
        <v>524</v>
      </c>
      <c r="C121" s="19" t="s">
        <v>30</v>
      </c>
      <c r="D121" s="19" t="s">
        <v>1637</v>
      </c>
      <c r="E121" s="19" t="s">
        <v>526</v>
      </c>
      <c r="F121" s="19" t="s">
        <v>527</v>
      </c>
      <c r="I121" s="19" t="s">
        <v>1638</v>
      </c>
      <c r="K121" s="19" t="s">
        <v>1639</v>
      </c>
      <c r="M121" s="19" t="s">
        <v>530</v>
      </c>
      <c r="P121" s="19" t="s">
        <v>531</v>
      </c>
      <c r="Q121" s="19" t="s">
        <v>532</v>
      </c>
      <c r="R121" s="19" t="s">
        <v>533</v>
      </c>
    </row>
    <row r="122" spans="1:18">
      <c r="A122" s="19" t="s">
        <v>26</v>
      </c>
      <c r="B122" s="19" t="s">
        <v>1640</v>
      </c>
      <c r="C122" s="19" t="s">
        <v>30</v>
      </c>
      <c r="D122" s="19" t="s">
        <v>1641</v>
      </c>
      <c r="E122" s="19" t="s">
        <v>1642</v>
      </c>
      <c r="F122" s="19" t="s">
        <v>1643</v>
      </c>
      <c r="I122" s="19" t="s">
        <v>1644</v>
      </c>
      <c r="K122" s="19" t="s">
        <v>1645</v>
      </c>
      <c r="M122" s="19" t="s">
        <v>1646</v>
      </c>
      <c r="P122" s="19" t="s">
        <v>1647</v>
      </c>
      <c r="Q122" s="19" t="s">
        <v>1648</v>
      </c>
      <c r="R122" s="19" t="s">
        <v>1649</v>
      </c>
    </row>
    <row r="123" spans="1:18">
      <c r="A123" s="19" t="s">
        <v>26</v>
      </c>
      <c r="B123" s="19" t="s">
        <v>534</v>
      </c>
      <c r="C123" s="19" t="s">
        <v>30</v>
      </c>
      <c r="D123" s="19" t="s">
        <v>1650</v>
      </c>
      <c r="E123" s="19" t="s">
        <v>1651</v>
      </c>
      <c r="F123" s="19" t="s">
        <v>1652</v>
      </c>
      <c r="I123" s="19" t="s">
        <v>1653</v>
      </c>
      <c r="K123" s="19" t="s">
        <v>1654</v>
      </c>
      <c r="M123" s="19" t="s">
        <v>538</v>
      </c>
      <c r="P123" s="19" t="s">
        <v>539</v>
      </c>
      <c r="Q123" s="19" t="s">
        <v>540</v>
      </c>
      <c r="R123" s="19" t="s">
        <v>541</v>
      </c>
    </row>
    <row r="124" spans="1:18">
      <c r="A124" s="19" t="s">
        <v>26</v>
      </c>
      <c r="B124" s="19" t="s">
        <v>1655</v>
      </c>
      <c r="C124" s="19" t="s">
        <v>30</v>
      </c>
      <c r="D124" s="19" t="s">
        <v>1656</v>
      </c>
      <c r="E124" s="19" t="s">
        <v>1657</v>
      </c>
      <c r="F124" s="19" t="s">
        <v>1658</v>
      </c>
      <c r="I124" s="19" t="s">
        <v>1659</v>
      </c>
      <c r="K124" s="19" t="s">
        <v>1660</v>
      </c>
      <c r="M124" s="19" t="s">
        <v>1661</v>
      </c>
      <c r="P124" s="19" t="s">
        <v>1662</v>
      </c>
      <c r="Q124" s="19" t="s">
        <v>1663</v>
      </c>
      <c r="R124" s="19" t="s">
        <v>1664</v>
      </c>
    </row>
    <row r="125" spans="1:18">
      <c r="A125" s="19" t="s">
        <v>26</v>
      </c>
      <c r="B125" s="19" t="s">
        <v>1665</v>
      </c>
      <c r="C125" s="19" t="s">
        <v>30</v>
      </c>
      <c r="D125" s="19" t="s">
        <v>1666</v>
      </c>
      <c r="E125" s="19" t="s">
        <v>1667</v>
      </c>
      <c r="F125" s="19" t="s">
        <v>1668</v>
      </c>
      <c r="I125" s="19" t="s">
        <v>1669</v>
      </c>
      <c r="K125" s="19" t="s">
        <v>1670</v>
      </c>
      <c r="M125" s="19" t="s">
        <v>1671</v>
      </c>
      <c r="P125" s="19" t="s">
        <v>1672</v>
      </c>
      <c r="Q125" s="19" t="s">
        <v>1673</v>
      </c>
      <c r="R125" s="19" t="s">
        <v>1674</v>
      </c>
    </row>
    <row r="126" spans="1:18">
      <c r="A126" s="19" t="s">
        <v>26</v>
      </c>
      <c r="B126" s="19" t="s">
        <v>545</v>
      </c>
      <c r="C126" s="19" t="s">
        <v>30</v>
      </c>
      <c r="D126" s="19" t="s">
        <v>1675</v>
      </c>
      <c r="E126" s="19" t="s">
        <v>547</v>
      </c>
      <c r="F126" s="19" t="s">
        <v>548</v>
      </c>
      <c r="I126" s="19" t="s">
        <v>1676</v>
      </c>
      <c r="K126" s="19" t="s">
        <v>1677</v>
      </c>
      <c r="M126" s="19" t="s">
        <v>551</v>
      </c>
      <c r="P126" s="19" t="s">
        <v>552</v>
      </c>
      <c r="Q126" s="19" t="s">
        <v>553</v>
      </c>
      <c r="R126" s="19" t="s">
        <v>554</v>
      </c>
    </row>
    <row r="127" spans="1:18">
      <c r="A127" s="19" t="s">
        <v>26</v>
      </c>
      <c r="B127" s="19" t="s">
        <v>1678</v>
      </c>
      <c r="C127" s="19" t="s">
        <v>30</v>
      </c>
      <c r="D127" s="19" t="s">
        <v>1679</v>
      </c>
      <c r="E127" s="19" t="s">
        <v>1680</v>
      </c>
      <c r="F127" s="19" t="s">
        <v>1681</v>
      </c>
      <c r="I127" s="19" t="s">
        <v>1682</v>
      </c>
      <c r="K127" s="19" t="s">
        <v>1683</v>
      </c>
      <c r="M127" s="19" t="s">
        <v>1684</v>
      </c>
      <c r="P127" s="19" t="s">
        <v>1685</v>
      </c>
      <c r="Q127" s="19" t="s">
        <v>1686</v>
      </c>
      <c r="R127" s="19" t="s">
        <v>1687</v>
      </c>
    </row>
    <row r="128" spans="1:18">
      <c r="A128" s="19" t="s">
        <v>26</v>
      </c>
      <c r="B128" s="19" t="s">
        <v>555</v>
      </c>
      <c r="C128" s="19" t="s">
        <v>30</v>
      </c>
      <c r="D128" s="19" t="s">
        <v>1688</v>
      </c>
      <c r="E128" s="19" t="s">
        <v>1689</v>
      </c>
      <c r="F128" s="19" t="s">
        <v>1690</v>
      </c>
      <c r="I128" s="19" t="s">
        <v>1691</v>
      </c>
      <c r="K128" s="19" t="s">
        <v>1692</v>
      </c>
      <c r="M128" s="19" t="s">
        <v>559</v>
      </c>
      <c r="P128" s="19" t="s">
        <v>560</v>
      </c>
      <c r="Q128" s="19" t="s">
        <v>561</v>
      </c>
      <c r="R128" s="19" t="s">
        <v>562</v>
      </c>
    </row>
    <row r="129" spans="1:18">
      <c r="A129" s="19" t="s">
        <v>26</v>
      </c>
      <c r="B129" s="19" t="s">
        <v>1693</v>
      </c>
      <c r="C129" s="19" t="s">
        <v>30</v>
      </c>
      <c r="D129" s="19" t="s">
        <v>1694</v>
      </c>
      <c r="E129" s="19" t="s">
        <v>1695</v>
      </c>
      <c r="F129" s="19" t="s">
        <v>1696</v>
      </c>
      <c r="I129" s="19" t="s">
        <v>1697</v>
      </c>
      <c r="K129" s="19" t="s">
        <v>1698</v>
      </c>
      <c r="M129" s="19" t="s">
        <v>1699</v>
      </c>
      <c r="P129" s="19" t="s">
        <v>1700</v>
      </c>
      <c r="Q129" s="19" t="s">
        <v>1701</v>
      </c>
      <c r="R129" s="19" t="s">
        <v>1702</v>
      </c>
    </row>
    <row r="130" spans="1:18">
      <c r="A130" s="19" t="s">
        <v>26</v>
      </c>
      <c r="B130" s="19" t="s">
        <v>1703</v>
      </c>
      <c r="C130" s="19" t="s">
        <v>30</v>
      </c>
      <c r="D130" s="19" t="s">
        <v>1704</v>
      </c>
      <c r="E130" s="19" t="s">
        <v>1705</v>
      </c>
      <c r="F130" s="19" t="s">
        <v>1706</v>
      </c>
      <c r="I130" s="19" t="s">
        <v>1707</v>
      </c>
      <c r="K130" s="19" t="s">
        <v>1708</v>
      </c>
      <c r="M130" s="19" t="s">
        <v>1709</v>
      </c>
      <c r="P130" s="19" t="s">
        <v>1710</v>
      </c>
      <c r="Q130" s="19" t="s">
        <v>1711</v>
      </c>
      <c r="R130" s="19" t="s">
        <v>1712</v>
      </c>
    </row>
    <row r="131" spans="1:18">
      <c r="A131" s="19" t="s">
        <v>26</v>
      </c>
      <c r="B131" s="19" t="s">
        <v>566</v>
      </c>
      <c r="C131" s="19" t="s">
        <v>30</v>
      </c>
      <c r="D131" s="19" t="s">
        <v>1713</v>
      </c>
      <c r="E131" s="19" t="s">
        <v>568</v>
      </c>
      <c r="F131" s="19" t="s">
        <v>569</v>
      </c>
      <c r="I131" s="19" t="s">
        <v>1714</v>
      </c>
      <c r="K131" s="19" t="s">
        <v>1715</v>
      </c>
      <c r="M131" s="19" t="s">
        <v>572</v>
      </c>
      <c r="P131" s="19" t="s">
        <v>573</v>
      </c>
      <c r="Q131" s="19" t="s">
        <v>574</v>
      </c>
      <c r="R131" s="19" t="s">
        <v>575</v>
      </c>
    </row>
    <row r="132" spans="1:18">
      <c r="A132" s="19" t="s">
        <v>26</v>
      </c>
      <c r="B132" s="19" t="s">
        <v>1716</v>
      </c>
      <c r="C132" s="19" t="s">
        <v>30</v>
      </c>
      <c r="D132" s="19" t="s">
        <v>1717</v>
      </c>
      <c r="E132" s="19" t="s">
        <v>1718</v>
      </c>
      <c r="F132" s="19" t="s">
        <v>1719</v>
      </c>
      <c r="I132" s="19" t="s">
        <v>1720</v>
      </c>
      <c r="K132" s="19" t="s">
        <v>1721</v>
      </c>
      <c r="M132" s="19" t="s">
        <v>1722</v>
      </c>
      <c r="P132" s="19" t="s">
        <v>1723</v>
      </c>
      <c r="Q132" s="19" t="s">
        <v>1724</v>
      </c>
      <c r="R132" s="19" t="s">
        <v>1725</v>
      </c>
    </row>
    <row r="133" spans="1:18">
      <c r="A133" s="19" t="s">
        <v>26</v>
      </c>
      <c r="B133" s="19" t="s">
        <v>576</v>
      </c>
      <c r="C133" s="19" t="s">
        <v>30</v>
      </c>
      <c r="D133" s="19" t="s">
        <v>1726</v>
      </c>
      <c r="E133" s="19" t="s">
        <v>1727</v>
      </c>
      <c r="F133" s="19" t="s">
        <v>1728</v>
      </c>
      <c r="I133" s="19" t="s">
        <v>1729</v>
      </c>
      <c r="K133" s="19" t="s">
        <v>1730</v>
      </c>
      <c r="M133" s="19" t="s">
        <v>580</v>
      </c>
      <c r="P133" s="19" t="s">
        <v>581</v>
      </c>
      <c r="Q133" s="19" t="s">
        <v>582</v>
      </c>
      <c r="R133" s="19" t="s">
        <v>583</v>
      </c>
    </row>
    <row r="134" spans="1:18">
      <c r="A134" s="19" t="s">
        <v>26</v>
      </c>
      <c r="B134" s="19" t="s">
        <v>1731</v>
      </c>
      <c r="C134" s="19" t="s">
        <v>30</v>
      </c>
      <c r="D134" s="19" t="s">
        <v>1732</v>
      </c>
      <c r="E134" s="19" t="s">
        <v>1733</v>
      </c>
      <c r="F134" s="19" t="s">
        <v>1734</v>
      </c>
      <c r="I134" s="19" t="s">
        <v>1735</v>
      </c>
      <c r="K134" s="19" t="s">
        <v>1736</v>
      </c>
      <c r="M134" s="19" t="s">
        <v>1737</v>
      </c>
      <c r="P134" s="19" t="s">
        <v>1738</v>
      </c>
      <c r="Q134" s="19" t="s">
        <v>1739</v>
      </c>
      <c r="R134" s="19" t="s">
        <v>1740</v>
      </c>
    </row>
    <row r="135" spans="1:18">
      <c r="B135" s="19" t="s">
        <v>16</v>
      </c>
    </row>
    <row r="136" spans="1:18">
      <c r="B136" s="19" t="s">
        <v>587</v>
      </c>
      <c r="F136" s="19" t="s">
        <v>1741</v>
      </c>
      <c r="I136" s="19" t="s">
        <v>1742</v>
      </c>
      <c r="K136" s="19" t="s">
        <v>1743</v>
      </c>
      <c r="M136" s="19" t="s">
        <v>593</v>
      </c>
      <c r="P136" s="19" t="s">
        <v>594</v>
      </c>
      <c r="Q136" s="19" t="s">
        <v>595</v>
      </c>
      <c r="R136" s="19" t="s">
        <v>596</v>
      </c>
    </row>
    <row r="137" spans="1:18">
      <c r="B137" s="19" t="s">
        <v>1239</v>
      </c>
    </row>
    <row r="138" spans="1:18">
      <c r="B138" s="19" t="s">
        <v>1744</v>
      </c>
      <c r="C138" s="19" t="s">
        <v>202</v>
      </c>
      <c r="F138" s="19" t="s">
        <v>1745</v>
      </c>
    </row>
    <row r="139" spans="1:18">
      <c r="B139" s="19" t="s">
        <v>1746</v>
      </c>
      <c r="C139" s="19" t="s">
        <v>31</v>
      </c>
      <c r="D139" s="19" t="s">
        <v>1747</v>
      </c>
      <c r="E139" s="19" t="s">
        <v>1748</v>
      </c>
      <c r="F139" s="19" t="s">
        <v>1749</v>
      </c>
      <c r="I139" s="19" t="s">
        <v>1750</v>
      </c>
      <c r="K139" s="19" t="s">
        <v>1751</v>
      </c>
      <c r="M139" s="19" t="s">
        <v>1752</v>
      </c>
      <c r="P139" s="19" t="s">
        <v>1753</v>
      </c>
      <c r="Q139" s="19" t="s">
        <v>1754</v>
      </c>
      <c r="R139" s="19" t="s">
        <v>1755</v>
      </c>
    </row>
    <row r="140" spans="1:18">
      <c r="A140" s="19" t="s">
        <v>26</v>
      </c>
      <c r="B140" s="19" t="s">
        <v>1756</v>
      </c>
      <c r="C140" s="19" t="s">
        <v>31</v>
      </c>
      <c r="D140" s="19" t="s">
        <v>1757</v>
      </c>
      <c r="E140" s="19" t="s">
        <v>1758</v>
      </c>
      <c r="F140" s="19" t="s">
        <v>1759</v>
      </c>
      <c r="I140" s="19" t="s">
        <v>1760</v>
      </c>
      <c r="K140" s="19" t="s">
        <v>1761</v>
      </c>
      <c r="M140" s="19" t="s">
        <v>1762</v>
      </c>
      <c r="P140" s="19" t="s">
        <v>1763</v>
      </c>
      <c r="Q140" s="19" t="s">
        <v>1764</v>
      </c>
      <c r="R140" s="19" t="s">
        <v>1765</v>
      </c>
    </row>
    <row r="141" spans="1:18">
      <c r="A141" s="19" t="s">
        <v>26</v>
      </c>
      <c r="B141" s="19" t="s">
        <v>608</v>
      </c>
      <c r="C141" s="19" t="s">
        <v>31</v>
      </c>
      <c r="D141" s="19" t="s">
        <v>1766</v>
      </c>
      <c r="E141" s="19" t="s">
        <v>610</v>
      </c>
      <c r="F141" s="19" t="s">
        <v>611</v>
      </c>
      <c r="I141" s="19" t="s">
        <v>1767</v>
      </c>
      <c r="K141" s="19" t="s">
        <v>1768</v>
      </c>
      <c r="M141" s="19" t="s">
        <v>614</v>
      </c>
      <c r="P141" s="19" t="s">
        <v>615</v>
      </c>
      <c r="Q141" s="19" t="s">
        <v>616</v>
      </c>
      <c r="R141" s="19" t="s">
        <v>617</v>
      </c>
    </row>
    <row r="142" spans="1:18">
      <c r="A142" s="19" t="s">
        <v>26</v>
      </c>
      <c r="B142" s="19" t="s">
        <v>1769</v>
      </c>
      <c r="C142" s="19" t="s">
        <v>31</v>
      </c>
      <c r="D142" s="19" t="s">
        <v>1770</v>
      </c>
      <c r="E142" s="19" t="s">
        <v>1771</v>
      </c>
      <c r="F142" s="19" t="s">
        <v>1772</v>
      </c>
      <c r="I142" s="19" t="s">
        <v>1773</v>
      </c>
      <c r="K142" s="19" t="s">
        <v>1774</v>
      </c>
      <c r="M142" s="19" t="s">
        <v>1775</v>
      </c>
      <c r="P142" s="19" t="s">
        <v>1776</v>
      </c>
      <c r="Q142" s="19" t="s">
        <v>1777</v>
      </c>
      <c r="R142" s="19" t="s">
        <v>1778</v>
      </c>
    </row>
    <row r="143" spans="1:18">
      <c r="A143" s="19" t="s">
        <v>26</v>
      </c>
      <c r="B143" s="19" t="s">
        <v>618</v>
      </c>
      <c r="C143" s="19" t="s">
        <v>31</v>
      </c>
      <c r="D143" s="19" t="s">
        <v>1779</v>
      </c>
      <c r="E143" s="19" t="s">
        <v>1780</v>
      </c>
      <c r="F143" s="19" t="s">
        <v>1781</v>
      </c>
      <c r="I143" s="19" t="s">
        <v>1782</v>
      </c>
      <c r="K143" s="19" t="s">
        <v>1783</v>
      </c>
      <c r="M143" s="19" t="s">
        <v>622</v>
      </c>
      <c r="P143" s="19" t="s">
        <v>623</v>
      </c>
      <c r="Q143" s="19" t="s">
        <v>624</v>
      </c>
      <c r="R143" s="19" t="s">
        <v>625</v>
      </c>
    </row>
    <row r="144" spans="1:18">
      <c r="A144" s="19" t="s">
        <v>26</v>
      </c>
      <c r="B144" s="19" t="s">
        <v>1784</v>
      </c>
      <c r="C144" s="19" t="s">
        <v>31</v>
      </c>
      <c r="D144" s="19" t="s">
        <v>1785</v>
      </c>
      <c r="E144" s="19" t="s">
        <v>1786</v>
      </c>
      <c r="F144" s="19" t="s">
        <v>1787</v>
      </c>
      <c r="I144" s="19" t="s">
        <v>1788</v>
      </c>
      <c r="K144" s="19" t="s">
        <v>1789</v>
      </c>
      <c r="M144" s="19" t="s">
        <v>1790</v>
      </c>
      <c r="P144" s="19" t="s">
        <v>1791</v>
      </c>
      <c r="Q144" s="19" t="s">
        <v>1792</v>
      </c>
      <c r="R144" s="19" t="s">
        <v>1793</v>
      </c>
    </row>
    <row r="145" spans="1:18">
      <c r="A145" s="19" t="s">
        <v>26</v>
      </c>
      <c r="B145" s="19" t="s">
        <v>626</v>
      </c>
      <c r="C145" s="19" t="s">
        <v>31</v>
      </c>
      <c r="D145" s="19" t="s">
        <v>1794</v>
      </c>
      <c r="E145" s="19" t="s">
        <v>1795</v>
      </c>
      <c r="F145" s="19" t="s">
        <v>1796</v>
      </c>
      <c r="I145" s="19" t="s">
        <v>1797</v>
      </c>
      <c r="K145" s="19" t="s">
        <v>1798</v>
      </c>
      <c r="M145" s="19" t="s">
        <v>629</v>
      </c>
      <c r="P145" s="19" t="s">
        <v>630</v>
      </c>
      <c r="Q145" s="19" t="s">
        <v>631</v>
      </c>
      <c r="R145" s="19" t="s">
        <v>632</v>
      </c>
    </row>
    <row r="146" spans="1:18">
      <c r="A146" s="19" t="s">
        <v>26</v>
      </c>
      <c r="B146" s="19" t="s">
        <v>1799</v>
      </c>
      <c r="C146" s="19" t="s">
        <v>31</v>
      </c>
      <c r="D146" s="19" t="s">
        <v>1800</v>
      </c>
      <c r="E146" s="19" t="s">
        <v>1801</v>
      </c>
      <c r="F146" s="19" t="s">
        <v>1802</v>
      </c>
      <c r="I146" s="19" t="s">
        <v>1803</v>
      </c>
      <c r="K146" s="19" t="s">
        <v>1804</v>
      </c>
      <c r="M146" s="19" t="s">
        <v>1805</v>
      </c>
      <c r="P146" s="19" t="s">
        <v>1806</v>
      </c>
      <c r="Q146" s="19" t="s">
        <v>1807</v>
      </c>
      <c r="R146" s="19" t="s">
        <v>1808</v>
      </c>
    </row>
    <row r="147" spans="1:18">
      <c r="B147" s="19" t="s">
        <v>16</v>
      </c>
    </row>
    <row r="148" spans="1:18">
      <c r="B148" s="19" t="s">
        <v>635</v>
      </c>
      <c r="F148" s="19" t="s">
        <v>1809</v>
      </c>
      <c r="I148" s="19" t="s">
        <v>1810</v>
      </c>
      <c r="K148" s="19" t="s">
        <v>1811</v>
      </c>
      <c r="M148" s="19" t="s">
        <v>641</v>
      </c>
      <c r="P148" s="19" t="s">
        <v>642</v>
      </c>
      <c r="Q148" s="19" t="s">
        <v>643</v>
      </c>
      <c r="R148" s="19" t="s">
        <v>644</v>
      </c>
    </row>
    <row r="149" spans="1:18">
      <c r="B149" s="19" t="s">
        <v>1744</v>
      </c>
    </row>
    <row r="150" spans="1:18">
      <c r="B150" s="19" t="s">
        <v>1812</v>
      </c>
      <c r="C150" s="19" t="s">
        <v>223</v>
      </c>
      <c r="F150" s="19" t="s">
        <v>1813</v>
      </c>
    </row>
    <row r="151" spans="1:18">
      <c r="B151" s="19" t="s">
        <v>1814</v>
      </c>
      <c r="C151" s="19" t="s">
        <v>32</v>
      </c>
      <c r="D151" s="19" t="s">
        <v>1815</v>
      </c>
      <c r="E151" s="19" t="s">
        <v>1816</v>
      </c>
      <c r="F151" s="19" t="s">
        <v>1817</v>
      </c>
      <c r="I151" s="19" t="s">
        <v>1818</v>
      </c>
      <c r="K151" s="19" t="s">
        <v>1819</v>
      </c>
      <c r="M151" s="19" t="s">
        <v>1820</v>
      </c>
      <c r="P151" s="19" t="s">
        <v>1821</v>
      </c>
      <c r="Q151" s="19" t="s">
        <v>1822</v>
      </c>
      <c r="R151" s="19" t="s">
        <v>1823</v>
      </c>
    </row>
    <row r="152" spans="1:18">
      <c r="A152" s="19" t="s">
        <v>26</v>
      </c>
      <c r="B152" s="19" t="s">
        <v>1824</v>
      </c>
      <c r="C152" s="19" t="s">
        <v>32</v>
      </c>
      <c r="D152" s="19" t="s">
        <v>1825</v>
      </c>
      <c r="E152" s="19" t="s">
        <v>1826</v>
      </c>
      <c r="F152" s="19" t="s">
        <v>1827</v>
      </c>
      <c r="I152" s="19" t="s">
        <v>1828</v>
      </c>
      <c r="K152" s="19" t="s">
        <v>1829</v>
      </c>
      <c r="M152" s="19" t="s">
        <v>1830</v>
      </c>
      <c r="P152" s="19" t="s">
        <v>1831</v>
      </c>
      <c r="Q152" s="19" t="s">
        <v>1832</v>
      </c>
      <c r="R152" s="19" t="s">
        <v>1833</v>
      </c>
    </row>
    <row r="153" spans="1:18">
      <c r="A153" s="19" t="s">
        <v>26</v>
      </c>
      <c r="B153" s="19" t="s">
        <v>656</v>
      </c>
      <c r="C153" s="19" t="s">
        <v>32</v>
      </c>
      <c r="D153" s="19" t="s">
        <v>1834</v>
      </c>
      <c r="E153" s="19" t="s">
        <v>658</v>
      </c>
      <c r="F153" s="19" t="s">
        <v>659</v>
      </c>
      <c r="I153" s="19" t="s">
        <v>1835</v>
      </c>
      <c r="K153" s="19" t="s">
        <v>1836</v>
      </c>
      <c r="M153" s="19" t="s">
        <v>662</v>
      </c>
      <c r="P153" s="19" t="s">
        <v>663</v>
      </c>
      <c r="Q153" s="19" t="s">
        <v>664</v>
      </c>
      <c r="R153" s="19" t="s">
        <v>665</v>
      </c>
    </row>
    <row r="154" spans="1:18">
      <c r="A154" s="19" t="s">
        <v>26</v>
      </c>
      <c r="B154" s="19" t="s">
        <v>1837</v>
      </c>
      <c r="C154" s="19" t="s">
        <v>32</v>
      </c>
      <c r="D154" s="19" t="s">
        <v>1838</v>
      </c>
      <c r="E154" s="19" t="s">
        <v>1839</v>
      </c>
      <c r="F154" s="19" t="s">
        <v>1840</v>
      </c>
      <c r="I154" s="19" t="s">
        <v>1841</v>
      </c>
      <c r="K154" s="19" t="s">
        <v>1842</v>
      </c>
      <c r="M154" s="19" t="s">
        <v>1843</v>
      </c>
      <c r="P154" s="19" t="s">
        <v>1844</v>
      </c>
      <c r="Q154" s="19" t="s">
        <v>1845</v>
      </c>
      <c r="R154" s="19" t="s">
        <v>1846</v>
      </c>
    </row>
    <row r="155" spans="1:18">
      <c r="A155" s="19" t="s">
        <v>26</v>
      </c>
      <c r="B155" s="19" t="s">
        <v>666</v>
      </c>
      <c r="C155" s="19" t="s">
        <v>32</v>
      </c>
      <c r="D155" s="19" t="s">
        <v>1847</v>
      </c>
      <c r="E155" s="19" t="s">
        <v>1848</v>
      </c>
      <c r="F155" s="19" t="s">
        <v>1849</v>
      </c>
      <c r="I155" s="19" t="s">
        <v>1850</v>
      </c>
      <c r="K155" s="19" t="s">
        <v>1851</v>
      </c>
      <c r="M155" s="19" t="s">
        <v>670</v>
      </c>
      <c r="P155" s="19" t="s">
        <v>671</v>
      </c>
      <c r="Q155" s="19" t="s">
        <v>672</v>
      </c>
      <c r="R155" s="19" t="s">
        <v>673</v>
      </c>
    </row>
    <row r="156" spans="1:18">
      <c r="A156" s="19" t="s">
        <v>26</v>
      </c>
      <c r="B156" s="19" t="s">
        <v>1852</v>
      </c>
      <c r="C156" s="19" t="s">
        <v>32</v>
      </c>
      <c r="D156" s="19" t="s">
        <v>1853</v>
      </c>
      <c r="E156" s="19" t="s">
        <v>1854</v>
      </c>
      <c r="F156" s="19" t="s">
        <v>1855</v>
      </c>
      <c r="I156" s="19" t="s">
        <v>1856</v>
      </c>
      <c r="K156" s="19" t="s">
        <v>1857</v>
      </c>
      <c r="M156" s="19" t="s">
        <v>1858</v>
      </c>
      <c r="P156" s="19" t="s">
        <v>1859</v>
      </c>
      <c r="Q156" s="19" t="s">
        <v>1860</v>
      </c>
      <c r="R156" s="19" t="s">
        <v>1861</v>
      </c>
    </row>
    <row r="157" spans="1:18">
      <c r="B157" s="19" t="s">
        <v>16</v>
      </c>
    </row>
    <row r="158" spans="1:18">
      <c r="B158" s="19" t="s">
        <v>677</v>
      </c>
      <c r="F158" s="19" t="s">
        <v>1862</v>
      </c>
      <c r="I158" s="19" t="s">
        <v>1863</v>
      </c>
      <c r="K158" s="19" t="s">
        <v>1864</v>
      </c>
      <c r="M158" s="19" t="s">
        <v>683</v>
      </c>
      <c r="P158" s="19" t="s">
        <v>684</v>
      </c>
      <c r="Q158" s="19" t="s">
        <v>685</v>
      </c>
      <c r="R158" s="19" t="s">
        <v>686</v>
      </c>
    </row>
    <row r="159" spans="1:18">
      <c r="B159" s="19" t="s">
        <v>1812</v>
      </c>
    </row>
    <row r="160" spans="1:18">
      <c r="B160" s="19" t="s">
        <v>1865</v>
      </c>
      <c r="C160" s="19" t="s">
        <v>244</v>
      </c>
      <c r="F160" s="19" t="s">
        <v>1866</v>
      </c>
    </row>
    <row r="161" spans="1:18">
      <c r="B161" s="19" t="s">
        <v>1867</v>
      </c>
      <c r="C161" s="19" t="s">
        <v>33</v>
      </c>
      <c r="D161" s="19" t="s">
        <v>1868</v>
      </c>
      <c r="E161" s="19" t="s">
        <v>1869</v>
      </c>
      <c r="F161" s="19" t="s">
        <v>1870</v>
      </c>
      <c r="I161" s="19" t="s">
        <v>1871</v>
      </c>
      <c r="K161" s="19" t="s">
        <v>1872</v>
      </c>
      <c r="M161" s="19" t="s">
        <v>1873</v>
      </c>
      <c r="P161" s="19" t="s">
        <v>1874</v>
      </c>
      <c r="Q161" s="19" t="s">
        <v>1875</v>
      </c>
      <c r="R161" s="19" t="s">
        <v>1876</v>
      </c>
    </row>
    <row r="162" spans="1:18">
      <c r="A162" s="19" t="s">
        <v>26</v>
      </c>
      <c r="B162" s="19" t="s">
        <v>695</v>
      </c>
      <c r="C162" s="19" t="s">
        <v>33</v>
      </c>
      <c r="D162" s="19" t="s">
        <v>1877</v>
      </c>
      <c r="E162" s="19" t="s">
        <v>1878</v>
      </c>
      <c r="F162" s="19" t="s">
        <v>1879</v>
      </c>
      <c r="I162" s="19" t="s">
        <v>1880</v>
      </c>
      <c r="K162" s="19" t="s">
        <v>1881</v>
      </c>
      <c r="M162" s="19" t="s">
        <v>698</v>
      </c>
      <c r="P162" s="19" t="s">
        <v>699</v>
      </c>
      <c r="Q162" s="19" t="s">
        <v>700</v>
      </c>
      <c r="R162" s="19" t="s">
        <v>701</v>
      </c>
    </row>
    <row r="163" spans="1:18">
      <c r="A163" s="19" t="s">
        <v>26</v>
      </c>
      <c r="B163" s="19" t="s">
        <v>1882</v>
      </c>
      <c r="C163" s="19" t="s">
        <v>33</v>
      </c>
      <c r="D163" s="19" t="s">
        <v>1883</v>
      </c>
      <c r="E163" s="19" t="s">
        <v>1884</v>
      </c>
      <c r="F163" s="19" t="s">
        <v>1885</v>
      </c>
      <c r="I163" s="19" t="s">
        <v>1886</v>
      </c>
      <c r="K163" s="19" t="s">
        <v>1887</v>
      </c>
      <c r="M163" s="19" t="s">
        <v>1888</v>
      </c>
      <c r="P163" s="19" t="s">
        <v>1889</v>
      </c>
      <c r="Q163" s="19" t="s">
        <v>1890</v>
      </c>
      <c r="R163" s="19" t="s">
        <v>1891</v>
      </c>
    </row>
    <row r="164" spans="1:18">
      <c r="A164" s="19" t="s">
        <v>26</v>
      </c>
      <c r="B164" s="19" t="s">
        <v>1892</v>
      </c>
      <c r="C164" s="19" t="s">
        <v>33</v>
      </c>
      <c r="D164" s="19" t="s">
        <v>1893</v>
      </c>
      <c r="E164" s="19" t="s">
        <v>1894</v>
      </c>
      <c r="F164" s="19" t="s">
        <v>1895</v>
      </c>
      <c r="I164" s="19" t="s">
        <v>1896</v>
      </c>
      <c r="K164" s="19" t="s">
        <v>1897</v>
      </c>
      <c r="M164" s="19" t="s">
        <v>1898</v>
      </c>
      <c r="P164" s="19" t="s">
        <v>1899</v>
      </c>
      <c r="Q164" s="19" t="s">
        <v>1900</v>
      </c>
      <c r="R164" s="19" t="s">
        <v>1901</v>
      </c>
    </row>
    <row r="165" spans="1:18">
      <c r="A165" s="19" t="s">
        <v>26</v>
      </c>
      <c r="B165" s="19" t="s">
        <v>705</v>
      </c>
      <c r="C165" s="19" t="s">
        <v>33</v>
      </c>
      <c r="D165" s="19" t="s">
        <v>1902</v>
      </c>
      <c r="E165" s="19" t="s">
        <v>707</v>
      </c>
      <c r="F165" s="19" t="s">
        <v>708</v>
      </c>
      <c r="I165" s="19" t="s">
        <v>1903</v>
      </c>
      <c r="K165" s="19" t="s">
        <v>1904</v>
      </c>
      <c r="M165" s="19" t="s">
        <v>711</v>
      </c>
      <c r="P165" s="19" t="s">
        <v>712</v>
      </c>
      <c r="Q165" s="19" t="s">
        <v>713</v>
      </c>
      <c r="R165" s="19" t="s">
        <v>714</v>
      </c>
    </row>
    <row r="166" spans="1:18">
      <c r="A166" s="19" t="s">
        <v>26</v>
      </c>
      <c r="B166" s="19" t="s">
        <v>1905</v>
      </c>
      <c r="C166" s="19" t="s">
        <v>33</v>
      </c>
      <c r="D166" s="19" t="s">
        <v>1906</v>
      </c>
      <c r="E166" s="19" t="s">
        <v>1907</v>
      </c>
      <c r="F166" s="19" t="s">
        <v>1908</v>
      </c>
      <c r="I166" s="19" t="s">
        <v>1909</v>
      </c>
      <c r="K166" s="19" t="s">
        <v>1910</v>
      </c>
      <c r="M166" s="19" t="s">
        <v>1911</v>
      </c>
      <c r="P166" s="19" t="s">
        <v>1912</v>
      </c>
      <c r="Q166" s="19" t="s">
        <v>1913</v>
      </c>
      <c r="R166" s="19" t="s">
        <v>1914</v>
      </c>
    </row>
    <row r="167" spans="1:18">
      <c r="A167" s="19" t="s">
        <v>26</v>
      </c>
      <c r="B167" s="19" t="s">
        <v>715</v>
      </c>
      <c r="C167" s="19" t="s">
        <v>33</v>
      </c>
      <c r="D167" s="19" t="s">
        <v>1915</v>
      </c>
      <c r="E167" s="19" t="s">
        <v>1916</v>
      </c>
      <c r="F167" s="19" t="s">
        <v>1917</v>
      </c>
      <c r="I167" s="19" t="s">
        <v>1918</v>
      </c>
      <c r="K167" s="19" t="s">
        <v>1919</v>
      </c>
      <c r="M167" s="19" t="s">
        <v>719</v>
      </c>
      <c r="P167" s="19" t="s">
        <v>720</v>
      </c>
      <c r="Q167" s="19" t="s">
        <v>721</v>
      </c>
      <c r="R167" s="19" t="s">
        <v>722</v>
      </c>
    </row>
    <row r="168" spans="1:18">
      <c r="A168" s="19" t="s">
        <v>26</v>
      </c>
      <c r="B168" s="19" t="s">
        <v>1920</v>
      </c>
      <c r="C168" s="19" t="s">
        <v>33</v>
      </c>
      <c r="D168" s="19" t="s">
        <v>1921</v>
      </c>
      <c r="E168" s="19" t="s">
        <v>1922</v>
      </c>
      <c r="F168" s="19" t="s">
        <v>1923</v>
      </c>
      <c r="I168" s="19" t="s">
        <v>1924</v>
      </c>
      <c r="K168" s="19" t="s">
        <v>1925</v>
      </c>
      <c r="M168" s="19" t="s">
        <v>1926</v>
      </c>
      <c r="P168" s="19" t="s">
        <v>1927</v>
      </c>
      <c r="Q168" s="19" t="s">
        <v>1928</v>
      </c>
      <c r="R168" s="19" t="s">
        <v>1929</v>
      </c>
    </row>
    <row r="169" spans="1:18">
      <c r="B169" s="19" t="s">
        <v>16</v>
      </c>
    </row>
    <row r="170" spans="1:18">
      <c r="B170" s="19" t="s">
        <v>726</v>
      </c>
      <c r="F170" s="19" t="s">
        <v>1930</v>
      </c>
      <c r="I170" s="19" t="s">
        <v>1931</v>
      </c>
      <c r="K170" s="19" t="s">
        <v>1932</v>
      </c>
      <c r="M170" s="19" t="s">
        <v>732</v>
      </c>
      <c r="P170" s="19" t="s">
        <v>733</v>
      </c>
      <c r="Q170" s="19" t="s">
        <v>734</v>
      </c>
      <c r="R170" s="19" t="s">
        <v>735</v>
      </c>
    </row>
    <row r="171" spans="1:18">
      <c r="B171" s="19" t="s">
        <v>1865</v>
      </c>
    </row>
    <row r="172" spans="1:18">
      <c r="B172" s="19" t="s">
        <v>823</v>
      </c>
      <c r="C172" s="19" t="s">
        <v>265</v>
      </c>
      <c r="F172" s="19" t="s">
        <v>1933</v>
      </c>
    </row>
    <row r="173" spans="1:18">
      <c r="B173" s="19" t="s">
        <v>1934</v>
      </c>
      <c r="C173" s="19" t="s">
        <v>34</v>
      </c>
      <c r="D173" s="19" t="s">
        <v>1935</v>
      </c>
      <c r="E173" s="19" t="s">
        <v>1936</v>
      </c>
      <c r="F173" s="19" t="s">
        <v>1937</v>
      </c>
      <c r="I173" s="19" t="s">
        <v>1938</v>
      </c>
      <c r="K173" s="19" t="s">
        <v>1939</v>
      </c>
      <c r="M173" s="19" t="s">
        <v>1940</v>
      </c>
      <c r="P173" s="19" t="s">
        <v>1941</v>
      </c>
      <c r="Q173" s="19" t="s">
        <v>1942</v>
      </c>
      <c r="R173" s="19" t="s">
        <v>1943</v>
      </c>
    </row>
    <row r="174" spans="1:18">
      <c r="A174" s="19" t="s">
        <v>26</v>
      </c>
      <c r="B174" s="19" t="s">
        <v>1944</v>
      </c>
      <c r="C174" s="19" t="s">
        <v>34</v>
      </c>
      <c r="D174" s="19" t="s">
        <v>1945</v>
      </c>
      <c r="E174" s="19" t="s">
        <v>1946</v>
      </c>
      <c r="F174" s="19" t="s">
        <v>1947</v>
      </c>
      <c r="I174" s="19" t="s">
        <v>1948</v>
      </c>
      <c r="K174" s="19" t="s">
        <v>1949</v>
      </c>
      <c r="M174" s="19" t="s">
        <v>1950</v>
      </c>
      <c r="P174" s="19" t="s">
        <v>1951</v>
      </c>
      <c r="Q174" s="19" t="s">
        <v>1952</v>
      </c>
      <c r="R174" s="19" t="s">
        <v>1953</v>
      </c>
    </row>
    <row r="175" spans="1:18">
      <c r="A175" s="19" t="s">
        <v>26</v>
      </c>
      <c r="B175" s="19" t="s">
        <v>747</v>
      </c>
      <c r="C175" s="19" t="s">
        <v>34</v>
      </c>
      <c r="D175" s="19" t="s">
        <v>1954</v>
      </c>
      <c r="E175" s="19" t="s">
        <v>749</v>
      </c>
      <c r="F175" s="19" t="s">
        <v>750</v>
      </c>
      <c r="I175" s="19" t="s">
        <v>1955</v>
      </c>
      <c r="K175" s="19" t="s">
        <v>1956</v>
      </c>
      <c r="M175" s="19" t="s">
        <v>753</v>
      </c>
      <c r="P175" s="19" t="s">
        <v>754</v>
      </c>
      <c r="Q175" s="19" t="s">
        <v>755</v>
      </c>
      <c r="R175" s="19" t="s">
        <v>756</v>
      </c>
    </row>
    <row r="176" spans="1:18">
      <c r="A176" s="19" t="s">
        <v>26</v>
      </c>
      <c r="B176" s="19" t="s">
        <v>1957</v>
      </c>
      <c r="C176" s="19" t="s">
        <v>34</v>
      </c>
      <c r="D176" s="19" t="s">
        <v>1958</v>
      </c>
      <c r="E176" s="19" t="s">
        <v>1959</v>
      </c>
      <c r="F176" s="19" t="s">
        <v>1960</v>
      </c>
      <c r="I176" s="19" t="s">
        <v>1961</v>
      </c>
      <c r="K176" s="19" t="s">
        <v>1962</v>
      </c>
      <c r="M176" s="19" t="s">
        <v>1963</v>
      </c>
      <c r="P176" s="19" t="s">
        <v>1964</v>
      </c>
      <c r="Q176" s="19" t="s">
        <v>1965</v>
      </c>
      <c r="R176" s="19" t="s">
        <v>1966</v>
      </c>
    </row>
    <row r="177" spans="1:18">
      <c r="A177" s="19" t="s">
        <v>26</v>
      </c>
      <c r="B177" s="19" t="s">
        <v>757</v>
      </c>
      <c r="C177" s="19" t="s">
        <v>34</v>
      </c>
      <c r="D177" s="19" t="s">
        <v>1967</v>
      </c>
      <c r="E177" s="19" t="s">
        <v>1968</v>
      </c>
      <c r="F177" s="19" t="s">
        <v>1969</v>
      </c>
      <c r="I177" s="19" t="s">
        <v>1970</v>
      </c>
      <c r="K177" s="19" t="s">
        <v>1971</v>
      </c>
      <c r="M177" s="19" t="s">
        <v>761</v>
      </c>
      <c r="P177" s="19" t="s">
        <v>762</v>
      </c>
      <c r="Q177" s="19" t="s">
        <v>763</v>
      </c>
      <c r="R177" s="19" t="s">
        <v>764</v>
      </c>
    </row>
    <row r="178" spans="1:18">
      <c r="A178" s="19" t="s">
        <v>26</v>
      </c>
      <c r="B178" s="19" t="s">
        <v>1972</v>
      </c>
      <c r="C178" s="19" t="s">
        <v>34</v>
      </c>
      <c r="D178" s="19" t="s">
        <v>1973</v>
      </c>
      <c r="E178" s="19" t="s">
        <v>1974</v>
      </c>
      <c r="F178" s="19" t="s">
        <v>1975</v>
      </c>
      <c r="I178" s="19" t="s">
        <v>1976</v>
      </c>
      <c r="K178" s="19" t="s">
        <v>1977</v>
      </c>
      <c r="M178" s="19" t="s">
        <v>1978</v>
      </c>
      <c r="P178" s="19" t="s">
        <v>1979</v>
      </c>
      <c r="Q178" s="19" t="s">
        <v>1980</v>
      </c>
      <c r="R178" s="19" t="s">
        <v>1981</v>
      </c>
    </row>
    <row r="179" spans="1:18">
      <c r="A179" s="19" t="s">
        <v>26</v>
      </c>
      <c r="B179" s="19" t="s">
        <v>1982</v>
      </c>
      <c r="C179" s="19" t="s">
        <v>34</v>
      </c>
      <c r="D179" s="19" t="s">
        <v>1983</v>
      </c>
      <c r="E179" s="19" t="s">
        <v>1984</v>
      </c>
      <c r="F179" s="19" t="s">
        <v>1985</v>
      </c>
      <c r="I179" s="19" t="s">
        <v>1986</v>
      </c>
      <c r="K179" s="19" t="s">
        <v>1987</v>
      </c>
      <c r="M179" s="19" t="s">
        <v>1988</v>
      </c>
      <c r="P179" s="19" t="s">
        <v>1989</v>
      </c>
      <c r="Q179" s="19" t="s">
        <v>1990</v>
      </c>
      <c r="R179" s="19" t="s">
        <v>1991</v>
      </c>
    </row>
    <row r="180" spans="1:18">
      <c r="A180" s="19" t="s">
        <v>26</v>
      </c>
      <c r="B180" s="19" t="s">
        <v>768</v>
      </c>
      <c r="C180" s="19" t="s">
        <v>34</v>
      </c>
      <c r="D180" s="19" t="s">
        <v>1992</v>
      </c>
      <c r="E180" s="19" t="s">
        <v>770</v>
      </c>
      <c r="F180" s="19" t="s">
        <v>771</v>
      </c>
      <c r="I180" s="19" t="s">
        <v>1993</v>
      </c>
      <c r="K180" s="19" t="s">
        <v>1994</v>
      </c>
      <c r="M180" s="19" t="s">
        <v>774</v>
      </c>
      <c r="P180" s="19" t="s">
        <v>775</v>
      </c>
      <c r="Q180" s="19" t="s">
        <v>776</v>
      </c>
      <c r="R180" s="19" t="s">
        <v>777</v>
      </c>
    </row>
    <row r="181" spans="1:18">
      <c r="A181" s="19" t="s">
        <v>26</v>
      </c>
      <c r="B181" s="19" t="s">
        <v>1995</v>
      </c>
      <c r="C181" s="19" t="s">
        <v>34</v>
      </c>
      <c r="D181" s="19" t="s">
        <v>1996</v>
      </c>
      <c r="E181" s="19" t="s">
        <v>1997</v>
      </c>
      <c r="F181" s="19" t="s">
        <v>1998</v>
      </c>
      <c r="I181" s="19" t="s">
        <v>1999</v>
      </c>
      <c r="K181" s="19" t="s">
        <v>2000</v>
      </c>
      <c r="M181" s="19" t="s">
        <v>2001</v>
      </c>
      <c r="P181" s="19" t="s">
        <v>2002</v>
      </c>
      <c r="Q181" s="19" t="s">
        <v>2003</v>
      </c>
      <c r="R181" s="19" t="s">
        <v>2004</v>
      </c>
    </row>
    <row r="182" spans="1:18">
      <c r="A182" s="19" t="s">
        <v>26</v>
      </c>
      <c r="B182" s="19" t="s">
        <v>778</v>
      </c>
      <c r="C182" s="19" t="s">
        <v>34</v>
      </c>
      <c r="D182" s="19" t="s">
        <v>2005</v>
      </c>
      <c r="E182" s="19" t="s">
        <v>2006</v>
      </c>
      <c r="F182" s="19" t="s">
        <v>2007</v>
      </c>
      <c r="I182" s="19" t="s">
        <v>2008</v>
      </c>
      <c r="K182" s="19" t="s">
        <v>2009</v>
      </c>
      <c r="M182" s="19" t="s">
        <v>782</v>
      </c>
      <c r="P182" s="19" t="s">
        <v>783</v>
      </c>
      <c r="Q182" s="19" t="s">
        <v>784</v>
      </c>
      <c r="R182" s="19" t="s">
        <v>785</v>
      </c>
    </row>
    <row r="183" spans="1:18">
      <c r="A183" s="19" t="s">
        <v>26</v>
      </c>
      <c r="B183" s="19" t="s">
        <v>2010</v>
      </c>
      <c r="C183" s="19" t="s">
        <v>34</v>
      </c>
      <c r="D183" s="19" t="s">
        <v>2011</v>
      </c>
      <c r="E183" s="19" t="s">
        <v>2012</v>
      </c>
      <c r="F183" s="19" t="s">
        <v>2013</v>
      </c>
      <c r="I183" s="19" t="s">
        <v>2014</v>
      </c>
      <c r="K183" s="19" t="s">
        <v>2015</v>
      </c>
      <c r="M183" s="19" t="s">
        <v>2016</v>
      </c>
      <c r="P183" s="19" t="s">
        <v>2017</v>
      </c>
      <c r="Q183" s="19" t="s">
        <v>2018</v>
      </c>
      <c r="R183" s="19" t="s">
        <v>2019</v>
      </c>
    </row>
    <row r="184" spans="1:18">
      <c r="A184" s="19" t="s">
        <v>26</v>
      </c>
      <c r="B184" s="19" t="s">
        <v>2020</v>
      </c>
      <c r="C184" s="19" t="s">
        <v>34</v>
      </c>
      <c r="D184" s="19" t="s">
        <v>2021</v>
      </c>
      <c r="E184" s="19" t="s">
        <v>2022</v>
      </c>
      <c r="F184" s="19" t="s">
        <v>2023</v>
      </c>
      <c r="I184" s="19" t="s">
        <v>2024</v>
      </c>
      <c r="K184" s="19" t="s">
        <v>2025</v>
      </c>
      <c r="M184" s="19" t="s">
        <v>2026</v>
      </c>
      <c r="P184" s="19" t="s">
        <v>2027</v>
      </c>
      <c r="Q184" s="19" t="s">
        <v>2028</v>
      </c>
      <c r="R184" s="19" t="s">
        <v>2029</v>
      </c>
    </row>
    <row r="185" spans="1:18">
      <c r="A185" s="19" t="s">
        <v>26</v>
      </c>
      <c r="B185" s="19" t="s">
        <v>789</v>
      </c>
      <c r="C185" s="19" t="s">
        <v>34</v>
      </c>
      <c r="D185" s="19" t="s">
        <v>2030</v>
      </c>
      <c r="E185" s="19" t="s">
        <v>791</v>
      </c>
      <c r="F185" s="19" t="s">
        <v>792</v>
      </c>
      <c r="I185" s="19" t="s">
        <v>2031</v>
      </c>
      <c r="K185" s="19" t="s">
        <v>2032</v>
      </c>
      <c r="M185" s="19" t="s">
        <v>795</v>
      </c>
      <c r="P185" s="19" t="s">
        <v>796</v>
      </c>
      <c r="Q185" s="19" t="s">
        <v>797</v>
      </c>
      <c r="R185" s="19" t="s">
        <v>798</v>
      </c>
    </row>
    <row r="186" spans="1:18">
      <c r="A186" s="19" t="s">
        <v>26</v>
      </c>
      <c r="B186" s="19" t="s">
        <v>2033</v>
      </c>
      <c r="C186" s="19" t="s">
        <v>34</v>
      </c>
      <c r="D186" s="19" t="s">
        <v>2034</v>
      </c>
      <c r="E186" s="19" t="s">
        <v>2035</v>
      </c>
      <c r="F186" s="19" t="s">
        <v>2036</v>
      </c>
      <c r="I186" s="19" t="s">
        <v>2037</v>
      </c>
      <c r="K186" s="19" t="s">
        <v>2038</v>
      </c>
      <c r="M186" s="19" t="s">
        <v>2039</v>
      </c>
      <c r="P186" s="19" t="s">
        <v>2040</v>
      </c>
      <c r="Q186" s="19" t="s">
        <v>2041</v>
      </c>
      <c r="R186" s="19" t="s">
        <v>2042</v>
      </c>
    </row>
    <row r="187" spans="1:18">
      <c r="A187" s="19" t="s">
        <v>26</v>
      </c>
      <c r="B187" s="19" t="s">
        <v>799</v>
      </c>
      <c r="C187" s="19" t="s">
        <v>34</v>
      </c>
      <c r="D187" s="19" t="s">
        <v>2043</v>
      </c>
      <c r="E187" s="19" t="s">
        <v>2044</v>
      </c>
      <c r="F187" s="19" t="s">
        <v>2045</v>
      </c>
      <c r="I187" s="19" t="s">
        <v>2046</v>
      </c>
      <c r="K187" s="19" t="s">
        <v>2047</v>
      </c>
      <c r="M187" s="19" t="s">
        <v>803</v>
      </c>
      <c r="P187" s="19" t="s">
        <v>804</v>
      </c>
      <c r="Q187" s="19" t="s">
        <v>805</v>
      </c>
      <c r="R187" s="19" t="s">
        <v>806</v>
      </c>
    </row>
    <row r="188" spans="1:18">
      <c r="A188" s="19" t="s">
        <v>26</v>
      </c>
      <c r="B188" s="19" t="s">
        <v>2048</v>
      </c>
      <c r="C188" s="19" t="s">
        <v>34</v>
      </c>
      <c r="D188" s="19" t="s">
        <v>2049</v>
      </c>
      <c r="E188" s="19" t="s">
        <v>2050</v>
      </c>
      <c r="F188" s="19" t="s">
        <v>2051</v>
      </c>
      <c r="I188" s="19" t="s">
        <v>2052</v>
      </c>
      <c r="K188" s="19" t="s">
        <v>2053</v>
      </c>
      <c r="M188" s="19" t="s">
        <v>2054</v>
      </c>
      <c r="P188" s="19" t="s">
        <v>2055</v>
      </c>
      <c r="Q188" s="19" t="s">
        <v>2056</v>
      </c>
      <c r="R188" s="19" t="s">
        <v>2057</v>
      </c>
    </row>
    <row r="189" spans="1:18">
      <c r="A189" s="19" t="s">
        <v>26</v>
      </c>
      <c r="B189" s="19" t="s">
        <v>807</v>
      </c>
      <c r="C189" s="19" t="s">
        <v>34</v>
      </c>
      <c r="D189" s="19" t="s">
        <v>2058</v>
      </c>
      <c r="E189" s="19" t="s">
        <v>2059</v>
      </c>
      <c r="F189" s="19" t="s">
        <v>2060</v>
      </c>
      <c r="I189" s="19" t="s">
        <v>2061</v>
      </c>
      <c r="K189" s="19" t="s">
        <v>2062</v>
      </c>
      <c r="M189" s="19" t="s">
        <v>810</v>
      </c>
      <c r="P189" s="19" t="s">
        <v>89</v>
      </c>
      <c r="Q189" s="19" t="s">
        <v>90</v>
      </c>
      <c r="R189" s="19" t="s">
        <v>811</v>
      </c>
    </row>
    <row r="190" spans="1:18">
      <c r="A190" s="19" t="s">
        <v>26</v>
      </c>
      <c r="B190" s="19" t="s">
        <v>2063</v>
      </c>
      <c r="C190" s="19" t="s">
        <v>34</v>
      </c>
      <c r="D190" s="19" t="s">
        <v>2064</v>
      </c>
      <c r="E190" s="19" t="s">
        <v>2065</v>
      </c>
      <c r="F190" s="19" t="s">
        <v>2066</v>
      </c>
      <c r="I190" s="19" t="s">
        <v>2067</v>
      </c>
      <c r="K190" s="19" t="s">
        <v>2068</v>
      </c>
      <c r="M190" s="19" t="s">
        <v>2069</v>
      </c>
      <c r="P190" s="19" t="s">
        <v>2070</v>
      </c>
      <c r="Q190" s="19" t="s">
        <v>2071</v>
      </c>
      <c r="R190" s="19" t="s">
        <v>2072</v>
      </c>
    </row>
    <row r="191" spans="1:18">
      <c r="A191" s="19" t="s">
        <v>26</v>
      </c>
      <c r="B191" s="19" t="s">
        <v>2073</v>
      </c>
      <c r="C191" s="19" t="s">
        <v>34</v>
      </c>
      <c r="D191" s="19" t="s">
        <v>2074</v>
      </c>
      <c r="E191" s="19" t="s">
        <v>2075</v>
      </c>
      <c r="F191" s="19" t="s">
        <v>2076</v>
      </c>
      <c r="I191" s="19" t="s">
        <v>2077</v>
      </c>
      <c r="K191" s="19" t="s">
        <v>2078</v>
      </c>
      <c r="M191" s="19" t="s">
        <v>814</v>
      </c>
      <c r="P191" s="19" t="s">
        <v>815</v>
      </c>
      <c r="Q191" s="19" t="s">
        <v>816</v>
      </c>
      <c r="R191" s="19" t="s">
        <v>817</v>
      </c>
    </row>
    <row r="192" spans="1:18">
      <c r="A192" s="19" t="s">
        <v>26</v>
      </c>
      <c r="B192" s="19" t="s">
        <v>2079</v>
      </c>
      <c r="C192" s="19" t="s">
        <v>34</v>
      </c>
      <c r="D192" s="19" t="s">
        <v>2080</v>
      </c>
      <c r="E192" s="19" t="s">
        <v>2081</v>
      </c>
      <c r="F192" s="19" t="s">
        <v>2082</v>
      </c>
      <c r="I192" s="19" t="s">
        <v>2083</v>
      </c>
      <c r="K192" s="19" t="s">
        <v>2084</v>
      </c>
      <c r="M192" s="19" t="s">
        <v>2085</v>
      </c>
      <c r="P192" s="19" t="s">
        <v>2086</v>
      </c>
      <c r="Q192" s="19" t="s">
        <v>2087</v>
      </c>
      <c r="R192" s="19" t="s">
        <v>2088</v>
      </c>
    </row>
    <row r="193" spans="1:18">
      <c r="A193" s="19" t="s">
        <v>26</v>
      </c>
      <c r="B193" s="19" t="s">
        <v>2089</v>
      </c>
      <c r="C193" s="19" t="s">
        <v>34</v>
      </c>
      <c r="D193" s="19" t="s">
        <v>2090</v>
      </c>
      <c r="E193" s="19" t="s">
        <v>2091</v>
      </c>
      <c r="F193" s="19" t="s">
        <v>2092</v>
      </c>
      <c r="I193" s="19" t="s">
        <v>2093</v>
      </c>
      <c r="K193" s="19" t="s">
        <v>2094</v>
      </c>
      <c r="M193" s="19" t="s">
        <v>2095</v>
      </c>
      <c r="P193" s="19" t="s">
        <v>2096</v>
      </c>
      <c r="Q193" s="19" t="s">
        <v>2097</v>
      </c>
      <c r="R193" s="19" t="s">
        <v>2098</v>
      </c>
    </row>
    <row r="194" spans="1:18">
      <c r="A194" s="19" t="s">
        <v>26</v>
      </c>
      <c r="B194" s="19" t="s">
        <v>2099</v>
      </c>
      <c r="C194" s="19" t="s">
        <v>34</v>
      </c>
      <c r="D194" s="19" t="s">
        <v>2100</v>
      </c>
      <c r="E194" s="19" t="s">
        <v>2101</v>
      </c>
      <c r="F194" s="19" t="s">
        <v>2102</v>
      </c>
      <c r="I194" s="19" t="s">
        <v>2103</v>
      </c>
      <c r="K194" s="19" t="s">
        <v>2104</v>
      </c>
      <c r="M194" s="19" t="s">
        <v>2105</v>
      </c>
      <c r="P194" s="19" t="s">
        <v>2106</v>
      </c>
      <c r="Q194" s="19" t="s">
        <v>2107</v>
      </c>
      <c r="R194" s="19" t="s">
        <v>2108</v>
      </c>
    </row>
    <row r="195" spans="1:18">
      <c r="A195" s="19" t="s">
        <v>26</v>
      </c>
      <c r="B195" s="19" t="s">
        <v>819</v>
      </c>
      <c r="C195" s="19" t="s">
        <v>34</v>
      </c>
      <c r="D195" s="19" t="s">
        <v>2109</v>
      </c>
      <c r="E195" s="19" t="s">
        <v>2110</v>
      </c>
      <c r="F195" s="19" t="s">
        <v>2111</v>
      </c>
      <c r="I195" s="19" t="s">
        <v>2112</v>
      </c>
      <c r="K195" s="19" t="s">
        <v>2113</v>
      </c>
      <c r="M195" s="19" t="s">
        <v>2114</v>
      </c>
      <c r="P195" s="19" t="s">
        <v>2115</v>
      </c>
      <c r="Q195" s="19" t="s">
        <v>2116</v>
      </c>
      <c r="R195" s="19" t="s">
        <v>822</v>
      </c>
    </row>
    <row r="196" spans="1:18">
      <c r="A196" s="19" t="s">
        <v>26</v>
      </c>
      <c r="B196" s="19" t="s">
        <v>2117</v>
      </c>
      <c r="C196" s="19" t="s">
        <v>34</v>
      </c>
      <c r="D196" s="19" t="s">
        <v>2118</v>
      </c>
      <c r="E196" s="19" t="s">
        <v>2119</v>
      </c>
      <c r="F196" s="19" t="s">
        <v>2120</v>
      </c>
      <c r="I196" s="19" t="s">
        <v>2121</v>
      </c>
      <c r="K196" s="19" t="s">
        <v>2122</v>
      </c>
      <c r="M196" s="19" t="s">
        <v>2123</v>
      </c>
      <c r="P196" s="19" t="s">
        <v>2124</v>
      </c>
      <c r="Q196" s="19" t="s">
        <v>2125</v>
      </c>
      <c r="R196" s="19" t="s">
        <v>2126</v>
      </c>
    </row>
    <row r="197" spans="1:18">
      <c r="A197" s="19" t="s">
        <v>26</v>
      </c>
      <c r="B197" s="19" t="s">
        <v>2127</v>
      </c>
      <c r="C197" s="19" t="s">
        <v>34</v>
      </c>
      <c r="D197" s="19" t="s">
        <v>2128</v>
      </c>
      <c r="E197" s="19" t="s">
        <v>2129</v>
      </c>
      <c r="F197" s="19" t="s">
        <v>2130</v>
      </c>
      <c r="I197" s="19" t="s">
        <v>2131</v>
      </c>
      <c r="K197" s="19" t="s">
        <v>2132</v>
      </c>
      <c r="M197" s="19" t="s">
        <v>2133</v>
      </c>
      <c r="P197" s="19" t="s">
        <v>2134</v>
      </c>
      <c r="Q197" s="19" t="s">
        <v>2135</v>
      </c>
      <c r="R197" s="19" t="s">
        <v>2136</v>
      </c>
    </row>
    <row r="198" spans="1:18">
      <c r="A198" s="19" t="s">
        <v>26</v>
      </c>
      <c r="B198" s="19" t="s">
        <v>824</v>
      </c>
      <c r="C198" s="19" t="s">
        <v>34</v>
      </c>
      <c r="D198" s="19" t="s">
        <v>2137</v>
      </c>
      <c r="E198" s="19" t="s">
        <v>2138</v>
      </c>
      <c r="F198" s="19" t="s">
        <v>827</v>
      </c>
      <c r="I198" s="19" t="s">
        <v>828</v>
      </c>
      <c r="K198" s="19" t="s">
        <v>829</v>
      </c>
      <c r="M198" s="19" t="s">
        <v>830</v>
      </c>
      <c r="P198" s="19" t="s">
        <v>831</v>
      </c>
      <c r="Q198" s="19" t="s">
        <v>832</v>
      </c>
      <c r="R198" s="19" t="s">
        <v>833</v>
      </c>
    </row>
    <row r="199" spans="1:18">
      <c r="B199" s="19" t="s">
        <v>16</v>
      </c>
    </row>
    <row r="200" spans="1:18">
      <c r="B200" s="19" t="s">
        <v>834</v>
      </c>
      <c r="F200" s="19" t="s">
        <v>2139</v>
      </c>
      <c r="I200" s="19" t="s">
        <v>2140</v>
      </c>
      <c r="K200" s="19" t="s">
        <v>2141</v>
      </c>
      <c r="M200" s="19" t="s">
        <v>838</v>
      </c>
      <c r="P200" s="19" t="s">
        <v>839</v>
      </c>
      <c r="Q200" s="19" t="s">
        <v>840</v>
      </c>
      <c r="R200" s="19" t="s">
        <v>841</v>
      </c>
    </row>
    <row r="201" spans="1:18">
      <c r="B201" s="19" t="s">
        <v>823</v>
      </c>
    </row>
    <row r="202" spans="1:18">
      <c r="B202" s="19" t="s">
        <v>2142</v>
      </c>
      <c r="C202" s="19" t="s">
        <v>286</v>
      </c>
      <c r="F202" s="19" t="s">
        <v>2143</v>
      </c>
    </row>
    <row r="203" spans="1:18">
      <c r="B203" s="19" t="s">
        <v>843</v>
      </c>
      <c r="C203" s="19" t="s">
        <v>35</v>
      </c>
      <c r="D203" s="19" t="s">
        <v>844</v>
      </c>
      <c r="E203" s="19" t="s">
        <v>2144</v>
      </c>
      <c r="F203" s="19" t="s">
        <v>846</v>
      </c>
      <c r="I203" s="19" t="s">
        <v>847</v>
      </c>
      <c r="K203" s="19" t="s">
        <v>848</v>
      </c>
      <c r="M203" s="19" t="s">
        <v>849</v>
      </c>
      <c r="P203" s="19" t="s">
        <v>850</v>
      </c>
      <c r="Q203" s="19" t="s">
        <v>851</v>
      </c>
      <c r="R203" s="19" t="s">
        <v>852</v>
      </c>
    </row>
    <row r="204" spans="1:18">
      <c r="A204" s="19" t="s">
        <v>26</v>
      </c>
      <c r="B204" s="19" t="s">
        <v>2145</v>
      </c>
      <c r="C204" s="19" t="s">
        <v>35</v>
      </c>
      <c r="D204" s="19" t="s">
        <v>2146</v>
      </c>
      <c r="E204" s="19" t="s">
        <v>2147</v>
      </c>
      <c r="F204" s="19" t="s">
        <v>2148</v>
      </c>
      <c r="I204" s="19" t="s">
        <v>2149</v>
      </c>
      <c r="K204" s="19" t="s">
        <v>2150</v>
      </c>
      <c r="M204" s="19" t="s">
        <v>2151</v>
      </c>
      <c r="P204" s="19" t="s">
        <v>2152</v>
      </c>
      <c r="Q204" s="19" t="s">
        <v>2153</v>
      </c>
      <c r="R204" s="19" t="s">
        <v>2154</v>
      </c>
    </row>
    <row r="205" spans="1:18">
      <c r="A205" s="19" t="s">
        <v>26</v>
      </c>
      <c r="B205" s="19" t="s">
        <v>853</v>
      </c>
      <c r="C205" s="19" t="s">
        <v>35</v>
      </c>
      <c r="D205" s="19" t="s">
        <v>2155</v>
      </c>
      <c r="E205" s="19" t="s">
        <v>2156</v>
      </c>
      <c r="F205" s="19" t="s">
        <v>2157</v>
      </c>
      <c r="I205" s="19" t="s">
        <v>2158</v>
      </c>
      <c r="K205" s="19" t="s">
        <v>2159</v>
      </c>
      <c r="M205" s="19" t="s">
        <v>857</v>
      </c>
      <c r="P205" s="19" t="s">
        <v>858</v>
      </c>
      <c r="Q205" s="19" t="s">
        <v>859</v>
      </c>
      <c r="R205" s="19" t="s">
        <v>860</v>
      </c>
    </row>
    <row r="206" spans="1:18">
      <c r="A206" s="19" t="s">
        <v>26</v>
      </c>
      <c r="B206" s="19" t="s">
        <v>2160</v>
      </c>
      <c r="C206" s="19" t="s">
        <v>35</v>
      </c>
      <c r="D206" s="19" t="s">
        <v>2161</v>
      </c>
      <c r="E206" s="19" t="s">
        <v>2162</v>
      </c>
      <c r="F206" s="19" t="s">
        <v>2163</v>
      </c>
      <c r="I206" s="19" t="s">
        <v>2164</v>
      </c>
      <c r="K206" s="19" t="s">
        <v>2165</v>
      </c>
      <c r="M206" s="19" t="s">
        <v>2166</v>
      </c>
      <c r="P206" s="19" t="s">
        <v>2167</v>
      </c>
      <c r="Q206" s="19" t="s">
        <v>2168</v>
      </c>
      <c r="R206" s="19" t="s">
        <v>2169</v>
      </c>
    </row>
    <row r="207" spans="1:18">
      <c r="A207" s="19" t="s">
        <v>26</v>
      </c>
      <c r="B207" s="19" t="s">
        <v>861</v>
      </c>
      <c r="C207" s="19" t="s">
        <v>35</v>
      </c>
      <c r="D207" s="19" t="s">
        <v>2170</v>
      </c>
      <c r="E207" s="19" t="s">
        <v>2171</v>
      </c>
      <c r="F207" s="19" t="s">
        <v>2172</v>
      </c>
      <c r="I207" s="19" t="s">
        <v>2173</v>
      </c>
      <c r="K207" s="19" t="s">
        <v>2174</v>
      </c>
      <c r="M207" s="19" t="s">
        <v>864</v>
      </c>
      <c r="P207" s="19" t="s">
        <v>865</v>
      </c>
      <c r="Q207" s="19" t="s">
        <v>866</v>
      </c>
      <c r="R207" s="19" t="s">
        <v>867</v>
      </c>
    </row>
    <row r="208" spans="1:18">
      <c r="A208" s="19" t="s">
        <v>26</v>
      </c>
      <c r="B208" s="19" t="s">
        <v>2175</v>
      </c>
      <c r="C208" s="19" t="s">
        <v>35</v>
      </c>
      <c r="D208" s="19" t="s">
        <v>2176</v>
      </c>
      <c r="E208" s="19" t="s">
        <v>2177</v>
      </c>
      <c r="F208" s="19" t="s">
        <v>2178</v>
      </c>
      <c r="I208" s="19" t="s">
        <v>2179</v>
      </c>
      <c r="K208" s="19" t="s">
        <v>2180</v>
      </c>
      <c r="M208" s="19" t="s">
        <v>2181</v>
      </c>
      <c r="P208" s="19" t="s">
        <v>2182</v>
      </c>
      <c r="Q208" s="19" t="s">
        <v>2183</v>
      </c>
      <c r="R208" s="19" t="s">
        <v>2184</v>
      </c>
    </row>
    <row r="209" spans="1:18">
      <c r="B209" s="19" t="s">
        <v>16</v>
      </c>
    </row>
    <row r="210" spans="1:18">
      <c r="B210" s="19" t="s">
        <v>2185</v>
      </c>
      <c r="F210" s="19" t="s">
        <v>854</v>
      </c>
      <c r="I210" s="19" t="s">
        <v>2186</v>
      </c>
      <c r="K210" s="19" t="s">
        <v>2187</v>
      </c>
      <c r="M210" s="19" t="s">
        <v>2188</v>
      </c>
      <c r="P210" s="19" t="s">
        <v>2189</v>
      </c>
      <c r="Q210" s="19" t="s">
        <v>2190</v>
      </c>
      <c r="R210" s="19" t="s">
        <v>2191</v>
      </c>
    </row>
    <row r="211" spans="1:18">
      <c r="B211" s="19" t="s">
        <v>2142</v>
      </c>
    </row>
    <row r="212" spans="1:18">
      <c r="B212" s="19" t="s">
        <v>2192</v>
      </c>
      <c r="C212" s="19" t="s">
        <v>307</v>
      </c>
      <c r="F212" s="19" t="s">
        <v>2193</v>
      </c>
    </row>
    <row r="213" spans="1:18">
      <c r="B213" s="19" t="s">
        <v>879</v>
      </c>
      <c r="C213" s="19" t="s">
        <v>36</v>
      </c>
      <c r="D213" s="19" t="s">
        <v>2194</v>
      </c>
      <c r="E213" s="19" t="s">
        <v>2195</v>
      </c>
      <c r="F213" s="19" t="s">
        <v>2196</v>
      </c>
      <c r="I213" s="19" t="s">
        <v>2197</v>
      </c>
      <c r="K213" s="19" t="s">
        <v>2198</v>
      </c>
      <c r="M213" s="19" t="s">
        <v>883</v>
      </c>
      <c r="P213" s="19" t="s">
        <v>884</v>
      </c>
      <c r="Q213" s="19" t="s">
        <v>885</v>
      </c>
      <c r="R213" s="19" t="s">
        <v>886</v>
      </c>
    </row>
    <row r="214" spans="1:18">
      <c r="B214" s="19" t="s">
        <v>16</v>
      </c>
    </row>
    <row r="215" spans="1:18">
      <c r="B215" s="19" t="s">
        <v>2199</v>
      </c>
      <c r="F215" s="19" t="s">
        <v>2200</v>
      </c>
      <c r="I215" s="19" t="s">
        <v>2201</v>
      </c>
      <c r="K215" s="19" t="s">
        <v>2202</v>
      </c>
      <c r="M215" s="19" t="s">
        <v>2203</v>
      </c>
      <c r="P215" s="19" t="s">
        <v>2204</v>
      </c>
      <c r="Q215" s="19" t="s">
        <v>2205</v>
      </c>
      <c r="R215" s="19" t="s">
        <v>2206</v>
      </c>
    </row>
    <row r="216" spans="1:18">
      <c r="B216" s="19" t="s">
        <v>2192</v>
      </c>
    </row>
    <row r="217" spans="1:18">
      <c r="B217" s="19" t="s">
        <v>2207</v>
      </c>
      <c r="C217" s="19" t="s">
        <v>328</v>
      </c>
      <c r="F217" s="19" t="s">
        <v>2208</v>
      </c>
    </row>
    <row r="218" spans="1:18">
      <c r="B218" s="19" t="s">
        <v>898</v>
      </c>
      <c r="C218" s="19" t="s">
        <v>37</v>
      </c>
      <c r="D218" s="19" t="s">
        <v>2209</v>
      </c>
      <c r="E218" s="19" t="s">
        <v>2210</v>
      </c>
      <c r="F218" s="19" t="s">
        <v>2211</v>
      </c>
      <c r="I218" s="19" t="s">
        <v>2212</v>
      </c>
      <c r="K218" s="19" t="s">
        <v>2213</v>
      </c>
      <c r="M218" s="19" t="s">
        <v>902</v>
      </c>
      <c r="P218" s="19" t="s">
        <v>903</v>
      </c>
      <c r="Q218" s="19" t="s">
        <v>904</v>
      </c>
      <c r="R218" s="19" t="s">
        <v>905</v>
      </c>
    </row>
    <row r="219" spans="1:18">
      <c r="A219" s="19" t="s">
        <v>26</v>
      </c>
      <c r="B219" s="19" t="s">
        <v>2214</v>
      </c>
      <c r="C219" s="19" t="s">
        <v>37</v>
      </c>
      <c r="D219" s="19" t="s">
        <v>2215</v>
      </c>
      <c r="E219" s="19" t="s">
        <v>2216</v>
      </c>
      <c r="F219" s="19" t="s">
        <v>2217</v>
      </c>
      <c r="I219" s="19" t="s">
        <v>2218</v>
      </c>
      <c r="K219" s="19" t="s">
        <v>2219</v>
      </c>
      <c r="M219" s="19" t="s">
        <v>2220</v>
      </c>
      <c r="P219" s="19" t="s">
        <v>2221</v>
      </c>
      <c r="Q219" s="19" t="s">
        <v>2222</v>
      </c>
      <c r="R219" s="19" t="s">
        <v>2223</v>
      </c>
    </row>
    <row r="220" spans="1:18">
      <c r="A220" s="19" t="s">
        <v>26</v>
      </c>
      <c r="B220" s="19" t="s">
        <v>2224</v>
      </c>
      <c r="C220" s="19" t="s">
        <v>37</v>
      </c>
      <c r="D220" s="19" t="s">
        <v>2225</v>
      </c>
      <c r="E220" s="19" t="s">
        <v>2226</v>
      </c>
      <c r="F220" s="19" t="s">
        <v>2227</v>
      </c>
      <c r="I220" s="19" t="s">
        <v>2228</v>
      </c>
      <c r="K220" s="19" t="s">
        <v>2229</v>
      </c>
      <c r="M220" s="19" t="s">
        <v>2230</v>
      </c>
      <c r="P220" s="19" t="s">
        <v>2231</v>
      </c>
      <c r="Q220" s="19" t="s">
        <v>2232</v>
      </c>
      <c r="R220" s="19" t="s">
        <v>2233</v>
      </c>
    </row>
    <row r="221" spans="1:18">
      <c r="A221" s="19" t="s">
        <v>26</v>
      </c>
      <c r="B221" s="19" t="s">
        <v>2234</v>
      </c>
      <c r="C221" s="19" t="s">
        <v>37</v>
      </c>
      <c r="D221" s="19" t="s">
        <v>2235</v>
      </c>
      <c r="E221" s="19" t="s">
        <v>2236</v>
      </c>
      <c r="F221" s="19" t="s">
        <v>2237</v>
      </c>
      <c r="I221" s="19" t="s">
        <v>2238</v>
      </c>
      <c r="K221" s="19" t="s">
        <v>2239</v>
      </c>
      <c r="M221" s="19" t="s">
        <v>2240</v>
      </c>
      <c r="P221" s="19" t="s">
        <v>2241</v>
      </c>
      <c r="Q221" s="19" t="s">
        <v>2242</v>
      </c>
      <c r="R221" s="19" t="s">
        <v>2243</v>
      </c>
    </row>
    <row r="222" spans="1:18">
      <c r="A222" s="19" t="s">
        <v>26</v>
      </c>
      <c r="B222" s="19" t="s">
        <v>908</v>
      </c>
      <c r="C222" s="19" t="s">
        <v>37</v>
      </c>
      <c r="D222" s="19" t="s">
        <v>2244</v>
      </c>
      <c r="E222" s="19" t="s">
        <v>910</v>
      </c>
      <c r="F222" s="19" t="s">
        <v>911</v>
      </c>
      <c r="I222" s="19" t="s">
        <v>2245</v>
      </c>
      <c r="K222" s="19" t="s">
        <v>2246</v>
      </c>
      <c r="M222" s="19" t="s">
        <v>914</v>
      </c>
      <c r="P222" s="19" t="s">
        <v>915</v>
      </c>
      <c r="Q222" s="19" t="s">
        <v>916</v>
      </c>
      <c r="R222" s="19" t="s">
        <v>917</v>
      </c>
    </row>
    <row r="223" spans="1:18">
      <c r="A223" s="19" t="s">
        <v>26</v>
      </c>
      <c r="B223" s="19" t="s">
        <v>2247</v>
      </c>
      <c r="C223" s="19" t="s">
        <v>37</v>
      </c>
      <c r="D223" s="19" t="s">
        <v>2248</v>
      </c>
      <c r="E223" s="19" t="s">
        <v>2249</v>
      </c>
      <c r="F223" s="19" t="s">
        <v>2250</v>
      </c>
      <c r="I223" s="19" t="s">
        <v>2251</v>
      </c>
      <c r="K223" s="19" t="s">
        <v>2252</v>
      </c>
      <c r="M223" s="19" t="s">
        <v>2253</v>
      </c>
      <c r="P223" s="19" t="s">
        <v>2254</v>
      </c>
      <c r="Q223" s="19" t="s">
        <v>2255</v>
      </c>
      <c r="R223" s="19" t="s">
        <v>2256</v>
      </c>
    </row>
    <row r="224" spans="1:18">
      <c r="A224" s="19" t="s">
        <v>26</v>
      </c>
      <c r="B224" s="19" t="s">
        <v>918</v>
      </c>
      <c r="C224" s="19" t="s">
        <v>37</v>
      </c>
      <c r="D224" s="19" t="s">
        <v>2257</v>
      </c>
      <c r="E224" s="19" t="s">
        <v>2258</v>
      </c>
      <c r="F224" s="19" t="s">
        <v>2259</v>
      </c>
      <c r="I224" s="19" t="s">
        <v>2260</v>
      </c>
      <c r="K224" s="19" t="s">
        <v>2261</v>
      </c>
      <c r="M224" s="19" t="s">
        <v>922</v>
      </c>
      <c r="P224" s="19" t="s">
        <v>923</v>
      </c>
      <c r="Q224" s="19" t="s">
        <v>924</v>
      </c>
      <c r="R224" s="19" t="s">
        <v>925</v>
      </c>
    </row>
    <row r="225" spans="1:18">
      <c r="B225" s="19" t="s">
        <v>16</v>
      </c>
    </row>
    <row r="226" spans="1:18">
      <c r="B226" s="19" t="s">
        <v>926</v>
      </c>
      <c r="F226" s="19" t="s">
        <v>2262</v>
      </c>
      <c r="I226" s="19" t="s">
        <v>2263</v>
      </c>
      <c r="K226" s="19" t="s">
        <v>2264</v>
      </c>
      <c r="M226" s="19" t="s">
        <v>929</v>
      </c>
      <c r="P226" s="19" t="s">
        <v>930</v>
      </c>
      <c r="Q226" s="19" t="s">
        <v>931</v>
      </c>
      <c r="R226" s="19" t="s">
        <v>932</v>
      </c>
    </row>
    <row r="227" spans="1:18">
      <c r="B227" s="19" t="s">
        <v>2207</v>
      </c>
    </row>
    <row r="228" spans="1:18">
      <c r="B228" s="19" t="s">
        <v>2265</v>
      </c>
      <c r="C228" s="19" t="s">
        <v>349</v>
      </c>
      <c r="F228" s="19" t="s">
        <v>2266</v>
      </c>
    </row>
    <row r="229" spans="1:18">
      <c r="B229" s="19" t="s">
        <v>2267</v>
      </c>
      <c r="C229" s="19" t="s">
        <v>38</v>
      </c>
      <c r="D229" s="19" t="s">
        <v>2268</v>
      </c>
      <c r="E229" s="19" t="s">
        <v>2269</v>
      </c>
      <c r="F229" s="19" t="s">
        <v>2270</v>
      </c>
      <c r="I229" s="19" t="s">
        <v>2271</v>
      </c>
      <c r="K229" s="19" t="s">
        <v>2272</v>
      </c>
      <c r="M229" s="19" t="s">
        <v>2273</v>
      </c>
      <c r="P229" s="19" t="s">
        <v>2274</v>
      </c>
      <c r="Q229" s="19" t="s">
        <v>2275</v>
      </c>
      <c r="R229" s="19" t="s">
        <v>2276</v>
      </c>
    </row>
    <row r="230" spans="1:18">
      <c r="A230" s="19" t="s">
        <v>26</v>
      </c>
      <c r="B230" s="19" t="s">
        <v>2277</v>
      </c>
      <c r="C230" s="19" t="s">
        <v>38</v>
      </c>
      <c r="D230" s="19" t="s">
        <v>2278</v>
      </c>
      <c r="E230" s="19" t="s">
        <v>2279</v>
      </c>
      <c r="F230" s="19" t="s">
        <v>2280</v>
      </c>
      <c r="I230" s="19" t="s">
        <v>2281</v>
      </c>
      <c r="K230" s="19" t="s">
        <v>2282</v>
      </c>
      <c r="M230" s="19" t="s">
        <v>942</v>
      </c>
      <c r="P230" s="19" t="s">
        <v>943</v>
      </c>
      <c r="Q230" s="19" t="s">
        <v>944</v>
      </c>
      <c r="R230" s="19" t="s">
        <v>945</v>
      </c>
    </row>
    <row r="231" spans="1:18">
      <c r="A231" s="19" t="s">
        <v>26</v>
      </c>
      <c r="B231" s="19" t="s">
        <v>2283</v>
      </c>
      <c r="C231" s="19" t="s">
        <v>38</v>
      </c>
      <c r="D231" s="19" t="s">
        <v>2284</v>
      </c>
      <c r="E231" s="19" t="s">
        <v>2285</v>
      </c>
      <c r="F231" s="19" t="s">
        <v>2286</v>
      </c>
      <c r="I231" s="19" t="s">
        <v>2287</v>
      </c>
      <c r="K231" s="19" t="s">
        <v>2288</v>
      </c>
      <c r="M231" s="19" t="s">
        <v>2289</v>
      </c>
      <c r="P231" s="19" t="s">
        <v>2290</v>
      </c>
      <c r="Q231" s="19" t="s">
        <v>2291</v>
      </c>
      <c r="R231" s="19" t="s">
        <v>2292</v>
      </c>
    </row>
    <row r="232" spans="1:18">
      <c r="B232" s="19" t="s">
        <v>16</v>
      </c>
    </row>
    <row r="233" spans="1:18">
      <c r="B233" s="19" t="s">
        <v>2293</v>
      </c>
      <c r="F233" s="19" t="s">
        <v>2294</v>
      </c>
      <c r="I233" s="19" t="s">
        <v>2295</v>
      </c>
      <c r="K233" s="19" t="s">
        <v>2296</v>
      </c>
      <c r="M233" s="19" t="s">
        <v>2297</v>
      </c>
      <c r="P233" s="19" t="s">
        <v>2298</v>
      </c>
      <c r="Q233" s="19" t="s">
        <v>2299</v>
      </c>
      <c r="R233" s="19" t="s">
        <v>2300</v>
      </c>
    </row>
    <row r="234" spans="1:18">
      <c r="B234" s="19" t="s">
        <v>2265</v>
      </c>
    </row>
    <row r="235" spans="1:18">
      <c r="B235" s="19" t="s">
        <v>2301</v>
      </c>
      <c r="C235" s="19" t="s">
        <v>370</v>
      </c>
      <c r="F235" s="19" t="s">
        <v>2302</v>
      </c>
    </row>
    <row r="236" spans="1:18">
      <c r="B236" s="19" t="s">
        <v>2303</v>
      </c>
      <c r="C236" s="19" t="s">
        <v>39</v>
      </c>
      <c r="D236" s="19" t="s">
        <v>2304</v>
      </c>
      <c r="E236" s="19" t="s">
        <v>2305</v>
      </c>
      <c r="F236" s="19" t="s">
        <v>2306</v>
      </c>
      <c r="I236" s="19" t="s">
        <v>2307</v>
      </c>
      <c r="K236" s="19" t="s">
        <v>2308</v>
      </c>
      <c r="M236" s="19" t="s">
        <v>2309</v>
      </c>
      <c r="P236" s="19" t="s">
        <v>2310</v>
      </c>
      <c r="Q236" s="19" t="s">
        <v>2311</v>
      </c>
      <c r="R236" s="19" t="s">
        <v>2312</v>
      </c>
    </row>
    <row r="237" spans="1:18">
      <c r="A237" s="19" t="s">
        <v>26</v>
      </c>
      <c r="B237" s="19" t="s">
        <v>2313</v>
      </c>
      <c r="C237" s="19" t="s">
        <v>39</v>
      </c>
      <c r="D237" s="19" t="s">
        <v>2314</v>
      </c>
      <c r="E237" s="19" t="s">
        <v>2315</v>
      </c>
      <c r="F237" s="19" t="s">
        <v>2316</v>
      </c>
      <c r="I237" s="19" t="s">
        <v>2317</v>
      </c>
      <c r="K237" s="19" t="s">
        <v>2318</v>
      </c>
      <c r="M237" s="19" t="s">
        <v>2319</v>
      </c>
      <c r="P237" s="19" t="s">
        <v>2320</v>
      </c>
      <c r="Q237" s="19" t="s">
        <v>2321</v>
      </c>
      <c r="R237" s="19" t="s">
        <v>2322</v>
      </c>
    </row>
    <row r="238" spans="1:18">
      <c r="A238" s="19" t="s">
        <v>26</v>
      </c>
      <c r="B238" s="19" t="s">
        <v>2323</v>
      </c>
      <c r="C238" s="19" t="s">
        <v>39</v>
      </c>
      <c r="D238" s="19" t="s">
        <v>2324</v>
      </c>
      <c r="E238" s="19" t="s">
        <v>2325</v>
      </c>
      <c r="F238" s="19" t="s">
        <v>2326</v>
      </c>
      <c r="I238" s="19" t="s">
        <v>2327</v>
      </c>
      <c r="K238" s="19" t="s">
        <v>2328</v>
      </c>
      <c r="M238" s="19" t="s">
        <v>2329</v>
      </c>
      <c r="P238" s="19" t="s">
        <v>2330</v>
      </c>
      <c r="Q238" s="19" t="s">
        <v>2331</v>
      </c>
      <c r="R238" s="19" t="s">
        <v>2332</v>
      </c>
    </row>
    <row r="239" spans="1:18">
      <c r="A239" s="19" t="s">
        <v>26</v>
      </c>
      <c r="B239" s="19" t="s">
        <v>2333</v>
      </c>
      <c r="C239" s="19" t="s">
        <v>39</v>
      </c>
      <c r="D239" s="19" t="s">
        <v>2334</v>
      </c>
      <c r="E239" s="19" t="s">
        <v>2335</v>
      </c>
      <c r="F239" s="19" t="s">
        <v>2336</v>
      </c>
      <c r="I239" s="19" t="s">
        <v>2337</v>
      </c>
      <c r="K239" s="19" t="s">
        <v>2338</v>
      </c>
      <c r="M239" s="19" t="s">
        <v>2339</v>
      </c>
      <c r="P239" s="19" t="s">
        <v>2340</v>
      </c>
      <c r="Q239" s="19" t="s">
        <v>2341</v>
      </c>
      <c r="R239" s="19" t="s">
        <v>2342</v>
      </c>
    </row>
    <row r="240" spans="1:18">
      <c r="A240" s="19" t="s">
        <v>26</v>
      </c>
      <c r="B240" s="19" t="s">
        <v>2343</v>
      </c>
      <c r="C240" s="19" t="s">
        <v>39</v>
      </c>
      <c r="D240" s="19" t="s">
        <v>2344</v>
      </c>
      <c r="E240" s="19" t="s">
        <v>2345</v>
      </c>
      <c r="F240" s="19" t="s">
        <v>2346</v>
      </c>
      <c r="I240" s="19" t="s">
        <v>2347</v>
      </c>
      <c r="K240" s="19" t="s">
        <v>2348</v>
      </c>
      <c r="M240" s="19" t="s">
        <v>2349</v>
      </c>
      <c r="P240" s="19" t="s">
        <v>2350</v>
      </c>
      <c r="Q240" s="19" t="s">
        <v>2351</v>
      </c>
      <c r="R240" s="19" t="s">
        <v>2352</v>
      </c>
    </row>
    <row r="241" spans="1:18">
      <c r="A241" s="19" t="s">
        <v>26</v>
      </c>
      <c r="B241" s="19" t="s">
        <v>2353</v>
      </c>
      <c r="C241" s="19" t="s">
        <v>39</v>
      </c>
      <c r="D241" s="19" t="s">
        <v>2354</v>
      </c>
      <c r="E241" s="19" t="s">
        <v>2355</v>
      </c>
      <c r="F241" s="19" t="s">
        <v>2356</v>
      </c>
      <c r="I241" s="19" t="s">
        <v>2357</v>
      </c>
      <c r="K241" s="19" t="s">
        <v>2358</v>
      </c>
      <c r="M241" s="19" t="s">
        <v>2359</v>
      </c>
      <c r="P241" s="19" t="s">
        <v>2360</v>
      </c>
      <c r="Q241" s="19" t="s">
        <v>2361</v>
      </c>
      <c r="R241" s="19" t="s">
        <v>2362</v>
      </c>
    </row>
    <row r="242" spans="1:18">
      <c r="A242" s="19" t="s">
        <v>26</v>
      </c>
      <c r="B242" s="19" t="s">
        <v>2363</v>
      </c>
      <c r="C242" s="19" t="s">
        <v>39</v>
      </c>
      <c r="D242" s="19" t="s">
        <v>2364</v>
      </c>
      <c r="E242" s="19" t="s">
        <v>2365</v>
      </c>
      <c r="F242" s="19" t="s">
        <v>2366</v>
      </c>
      <c r="I242" s="19" t="s">
        <v>2367</v>
      </c>
      <c r="K242" s="19" t="s">
        <v>2368</v>
      </c>
      <c r="M242" s="19" t="s">
        <v>2369</v>
      </c>
      <c r="P242" s="19" t="s">
        <v>2370</v>
      </c>
      <c r="Q242" s="19" t="s">
        <v>2371</v>
      </c>
      <c r="R242" s="19" t="s">
        <v>2372</v>
      </c>
    </row>
    <row r="243" spans="1:18">
      <c r="A243" s="19" t="s">
        <v>26</v>
      </c>
      <c r="B243" s="19" t="s">
        <v>2373</v>
      </c>
      <c r="C243" s="19" t="s">
        <v>39</v>
      </c>
      <c r="D243" s="19" t="s">
        <v>2374</v>
      </c>
      <c r="E243" s="19" t="s">
        <v>2375</v>
      </c>
      <c r="F243" s="19" t="s">
        <v>2376</v>
      </c>
      <c r="I243" s="19" t="s">
        <v>2377</v>
      </c>
      <c r="K243" s="19" t="s">
        <v>2378</v>
      </c>
      <c r="M243" s="19" t="s">
        <v>2379</v>
      </c>
      <c r="P243" s="19" t="s">
        <v>2380</v>
      </c>
      <c r="Q243" s="19" t="s">
        <v>2381</v>
      </c>
      <c r="R243" s="19" t="s">
        <v>2382</v>
      </c>
    </row>
    <row r="244" spans="1:18">
      <c r="A244" s="19" t="s">
        <v>26</v>
      </c>
      <c r="B244" s="19" t="s">
        <v>2383</v>
      </c>
      <c r="C244" s="19" t="s">
        <v>39</v>
      </c>
      <c r="D244" s="19" t="s">
        <v>2384</v>
      </c>
      <c r="E244" s="19" t="s">
        <v>2385</v>
      </c>
      <c r="F244" s="19" t="s">
        <v>2386</v>
      </c>
      <c r="I244" s="19" t="s">
        <v>2387</v>
      </c>
      <c r="K244" s="19" t="s">
        <v>2388</v>
      </c>
      <c r="M244" s="19" t="s">
        <v>2389</v>
      </c>
      <c r="P244" s="19" t="s">
        <v>2390</v>
      </c>
      <c r="Q244" s="19" t="s">
        <v>2391</v>
      </c>
      <c r="R244" s="19" t="s">
        <v>2392</v>
      </c>
    </row>
    <row r="245" spans="1:18">
      <c r="B245" s="19" t="s">
        <v>16</v>
      </c>
    </row>
    <row r="246" spans="1:18">
      <c r="B246" s="19" t="s">
        <v>2393</v>
      </c>
      <c r="F246" s="19" t="s">
        <v>2394</v>
      </c>
      <c r="I246" s="19" t="s">
        <v>2395</v>
      </c>
      <c r="K246" s="19" t="s">
        <v>2396</v>
      </c>
      <c r="M246" s="19" t="s">
        <v>2397</v>
      </c>
      <c r="P246" s="19" t="s">
        <v>2398</v>
      </c>
      <c r="Q246" s="19" t="s">
        <v>2399</v>
      </c>
      <c r="R246" s="19" t="s">
        <v>2400</v>
      </c>
    </row>
    <row r="247" spans="1:18">
      <c r="B247" s="19" t="s">
        <v>2301</v>
      </c>
    </row>
    <row r="248" spans="1:18">
      <c r="B248" s="19" t="s">
        <v>2401</v>
      </c>
      <c r="C248" s="19" t="s">
        <v>391</v>
      </c>
      <c r="F248" s="19" t="s">
        <v>2402</v>
      </c>
    </row>
    <row r="249" spans="1:18">
      <c r="B249" s="19" t="s">
        <v>2403</v>
      </c>
      <c r="C249" s="19" t="s">
        <v>40</v>
      </c>
      <c r="D249" s="19" t="s">
        <v>2404</v>
      </c>
      <c r="E249" s="19" t="s">
        <v>2405</v>
      </c>
      <c r="F249" s="19" t="s">
        <v>2406</v>
      </c>
      <c r="I249" s="19" t="s">
        <v>2407</v>
      </c>
      <c r="K249" s="19" t="s">
        <v>2408</v>
      </c>
      <c r="M249" s="19" t="s">
        <v>2409</v>
      </c>
      <c r="P249" s="19" t="s">
        <v>2410</v>
      </c>
      <c r="Q249" s="19" t="s">
        <v>2411</v>
      </c>
      <c r="R249" s="19" t="s">
        <v>2412</v>
      </c>
    </row>
    <row r="250" spans="1:18">
      <c r="A250" s="19" t="s">
        <v>26</v>
      </c>
      <c r="B250" s="19" t="s">
        <v>2413</v>
      </c>
      <c r="C250" s="19" t="s">
        <v>40</v>
      </c>
      <c r="D250" s="19" t="s">
        <v>2414</v>
      </c>
      <c r="E250" s="19" t="s">
        <v>2415</v>
      </c>
      <c r="F250" s="19" t="s">
        <v>2416</v>
      </c>
      <c r="I250" s="19" t="s">
        <v>2417</v>
      </c>
      <c r="K250" s="19" t="s">
        <v>2418</v>
      </c>
      <c r="M250" s="19" t="s">
        <v>2419</v>
      </c>
      <c r="P250" s="19" t="s">
        <v>2420</v>
      </c>
      <c r="Q250" s="19" t="s">
        <v>2421</v>
      </c>
      <c r="R250" s="19" t="s">
        <v>2422</v>
      </c>
    </row>
    <row r="251" spans="1:18">
      <c r="A251" s="19" t="s">
        <v>26</v>
      </c>
      <c r="B251" s="19" t="s">
        <v>2423</v>
      </c>
      <c r="C251" s="19" t="s">
        <v>40</v>
      </c>
      <c r="D251" s="19" t="s">
        <v>2424</v>
      </c>
      <c r="E251" s="19" t="s">
        <v>2425</v>
      </c>
      <c r="F251" s="19" t="s">
        <v>2426</v>
      </c>
      <c r="I251" s="19" t="s">
        <v>2427</v>
      </c>
      <c r="K251" s="19" t="s">
        <v>2428</v>
      </c>
      <c r="M251" s="19" t="s">
        <v>2429</v>
      </c>
      <c r="P251" s="19" t="s">
        <v>2430</v>
      </c>
      <c r="Q251" s="19" t="s">
        <v>2431</v>
      </c>
      <c r="R251" s="19" t="s">
        <v>2432</v>
      </c>
    </row>
    <row r="252" spans="1:18">
      <c r="A252" s="19" t="s">
        <v>26</v>
      </c>
      <c r="B252" s="19" t="s">
        <v>2433</v>
      </c>
      <c r="C252" s="19" t="s">
        <v>40</v>
      </c>
      <c r="D252" s="19" t="s">
        <v>2434</v>
      </c>
      <c r="E252" s="19" t="s">
        <v>2435</v>
      </c>
      <c r="F252" s="19" t="s">
        <v>2436</v>
      </c>
      <c r="I252" s="19" t="s">
        <v>2437</v>
      </c>
      <c r="K252" s="19" t="s">
        <v>2438</v>
      </c>
      <c r="M252" s="19" t="s">
        <v>2439</v>
      </c>
      <c r="P252" s="19" t="s">
        <v>2440</v>
      </c>
      <c r="Q252" s="19" t="s">
        <v>2441</v>
      </c>
      <c r="R252" s="19" t="s">
        <v>2442</v>
      </c>
    </row>
    <row r="253" spans="1:18">
      <c r="A253" s="19" t="s">
        <v>26</v>
      </c>
      <c r="B253" s="19" t="s">
        <v>2443</v>
      </c>
      <c r="C253" s="19" t="s">
        <v>40</v>
      </c>
      <c r="D253" s="19" t="s">
        <v>2444</v>
      </c>
      <c r="E253" s="19" t="s">
        <v>2445</v>
      </c>
      <c r="F253" s="19" t="s">
        <v>2446</v>
      </c>
      <c r="I253" s="19" t="s">
        <v>2447</v>
      </c>
      <c r="K253" s="19" t="s">
        <v>2448</v>
      </c>
      <c r="M253" s="19" t="s">
        <v>2449</v>
      </c>
      <c r="P253" s="19" t="s">
        <v>2450</v>
      </c>
      <c r="Q253" s="19" t="s">
        <v>2451</v>
      </c>
      <c r="R253" s="19" t="s">
        <v>2452</v>
      </c>
    </row>
    <row r="254" spans="1:18">
      <c r="A254" s="19" t="s">
        <v>26</v>
      </c>
      <c r="B254" s="19" t="s">
        <v>2453</v>
      </c>
      <c r="C254" s="19" t="s">
        <v>40</v>
      </c>
      <c r="D254" s="19" t="s">
        <v>2454</v>
      </c>
      <c r="E254" s="19" t="s">
        <v>2455</v>
      </c>
      <c r="F254" s="19" t="s">
        <v>2456</v>
      </c>
      <c r="I254" s="19" t="s">
        <v>2457</v>
      </c>
      <c r="K254" s="19" t="s">
        <v>2458</v>
      </c>
      <c r="M254" s="19" t="s">
        <v>2459</v>
      </c>
      <c r="P254" s="19" t="s">
        <v>2460</v>
      </c>
      <c r="Q254" s="19" t="s">
        <v>2461</v>
      </c>
      <c r="R254" s="19" t="s">
        <v>2462</v>
      </c>
    </row>
    <row r="255" spans="1:18">
      <c r="A255" s="19" t="s">
        <v>26</v>
      </c>
      <c r="B255" s="19" t="s">
        <v>2463</v>
      </c>
      <c r="C255" s="19" t="s">
        <v>40</v>
      </c>
      <c r="D255" s="19" t="s">
        <v>2464</v>
      </c>
      <c r="E255" s="19" t="s">
        <v>2465</v>
      </c>
      <c r="F255" s="19" t="s">
        <v>2466</v>
      </c>
      <c r="I255" s="19" t="s">
        <v>2467</v>
      </c>
      <c r="K255" s="19" t="s">
        <v>2468</v>
      </c>
      <c r="M255" s="19" t="s">
        <v>2469</v>
      </c>
      <c r="P255" s="19" t="s">
        <v>2470</v>
      </c>
      <c r="Q255" s="19" t="s">
        <v>2471</v>
      </c>
      <c r="R255" s="19" t="s">
        <v>2472</v>
      </c>
    </row>
    <row r="256" spans="1:18">
      <c r="A256" s="19" t="s">
        <v>26</v>
      </c>
      <c r="B256" s="19" t="s">
        <v>2473</v>
      </c>
      <c r="C256" s="19" t="s">
        <v>40</v>
      </c>
      <c r="D256" s="19" t="s">
        <v>2474</v>
      </c>
      <c r="E256" s="19" t="s">
        <v>2475</v>
      </c>
      <c r="F256" s="19" t="s">
        <v>2476</v>
      </c>
      <c r="I256" s="19" t="s">
        <v>2477</v>
      </c>
      <c r="K256" s="19" t="s">
        <v>2478</v>
      </c>
      <c r="M256" s="19" t="s">
        <v>2479</v>
      </c>
      <c r="P256" s="19" t="s">
        <v>2480</v>
      </c>
      <c r="Q256" s="19" t="s">
        <v>2481</v>
      </c>
      <c r="R256" s="19" t="s">
        <v>2482</v>
      </c>
    </row>
    <row r="257" spans="1:18">
      <c r="A257" s="19" t="s">
        <v>26</v>
      </c>
      <c r="B257" s="19" t="s">
        <v>2483</v>
      </c>
      <c r="C257" s="19" t="s">
        <v>40</v>
      </c>
      <c r="D257" s="19" t="s">
        <v>2484</v>
      </c>
      <c r="E257" s="19" t="s">
        <v>2485</v>
      </c>
      <c r="F257" s="19" t="s">
        <v>2486</v>
      </c>
      <c r="I257" s="19" t="s">
        <v>2487</v>
      </c>
      <c r="K257" s="19" t="s">
        <v>2488</v>
      </c>
      <c r="M257" s="19" t="s">
        <v>2489</v>
      </c>
      <c r="P257" s="19" t="s">
        <v>2490</v>
      </c>
      <c r="Q257" s="19" t="s">
        <v>2491</v>
      </c>
      <c r="R257" s="19" t="s">
        <v>2492</v>
      </c>
    </row>
    <row r="258" spans="1:18">
      <c r="A258" s="19" t="s">
        <v>26</v>
      </c>
      <c r="B258" s="19" t="s">
        <v>2493</v>
      </c>
      <c r="C258" s="19" t="s">
        <v>40</v>
      </c>
      <c r="D258" s="19" t="s">
        <v>2494</v>
      </c>
      <c r="E258" s="19" t="s">
        <v>2495</v>
      </c>
      <c r="F258" s="19" t="s">
        <v>2496</v>
      </c>
      <c r="I258" s="19" t="s">
        <v>2497</v>
      </c>
      <c r="K258" s="19" t="s">
        <v>2498</v>
      </c>
      <c r="M258" s="19" t="s">
        <v>2499</v>
      </c>
      <c r="P258" s="19" t="s">
        <v>2500</v>
      </c>
      <c r="Q258" s="19" t="s">
        <v>2501</v>
      </c>
      <c r="R258" s="19" t="s">
        <v>2502</v>
      </c>
    </row>
    <row r="259" spans="1:18">
      <c r="A259" s="19" t="s">
        <v>26</v>
      </c>
      <c r="B259" s="19" t="s">
        <v>2503</v>
      </c>
      <c r="C259" s="19" t="s">
        <v>40</v>
      </c>
      <c r="D259" s="19" t="s">
        <v>2504</v>
      </c>
      <c r="E259" s="19" t="s">
        <v>2505</v>
      </c>
      <c r="F259" s="19" t="s">
        <v>2506</v>
      </c>
      <c r="I259" s="19" t="s">
        <v>2507</v>
      </c>
      <c r="K259" s="19" t="s">
        <v>2508</v>
      </c>
      <c r="M259" s="19" t="s">
        <v>2509</v>
      </c>
      <c r="P259" s="19" t="s">
        <v>2510</v>
      </c>
      <c r="Q259" s="19" t="s">
        <v>2511</v>
      </c>
      <c r="R259" s="19" t="s">
        <v>2512</v>
      </c>
    </row>
    <row r="260" spans="1:18">
      <c r="A260" s="19" t="s">
        <v>26</v>
      </c>
      <c r="B260" s="19" t="s">
        <v>2513</v>
      </c>
      <c r="C260" s="19" t="s">
        <v>40</v>
      </c>
      <c r="D260" s="19" t="s">
        <v>2514</v>
      </c>
      <c r="E260" s="19" t="s">
        <v>2515</v>
      </c>
      <c r="F260" s="19" t="s">
        <v>2516</v>
      </c>
      <c r="I260" s="19" t="s">
        <v>2517</v>
      </c>
      <c r="K260" s="19" t="s">
        <v>2518</v>
      </c>
      <c r="M260" s="19" t="s">
        <v>2519</v>
      </c>
      <c r="P260" s="19" t="s">
        <v>2520</v>
      </c>
      <c r="Q260" s="19" t="s">
        <v>2521</v>
      </c>
      <c r="R260" s="19" t="s">
        <v>2522</v>
      </c>
    </row>
    <row r="261" spans="1:18">
      <c r="A261" s="19" t="s">
        <v>26</v>
      </c>
      <c r="B261" s="19" t="s">
        <v>2523</v>
      </c>
      <c r="C261" s="19" t="s">
        <v>40</v>
      </c>
      <c r="D261" s="19" t="s">
        <v>2524</v>
      </c>
      <c r="E261" s="19" t="s">
        <v>2525</v>
      </c>
      <c r="F261" s="19" t="s">
        <v>2526</v>
      </c>
      <c r="I261" s="19" t="s">
        <v>2527</v>
      </c>
      <c r="K261" s="19" t="s">
        <v>2528</v>
      </c>
      <c r="M261" s="19" t="s">
        <v>2529</v>
      </c>
      <c r="P261" s="19" t="s">
        <v>2530</v>
      </c>
      <c r="Q261" s="19" t="s">
        <v>2531</v>
      </c>
      <c r="R261" s="19" t="s">
        <v>2532</v>
      </c>
    </row>
    <row r="262" spans="1:18">
      <c r="A262" s="19" t="s">
        <v>26</v>
      </c>
      <c r="B262" s="19" t="s">
        <v>2533</v>
      </c>
      <c r="C262" s="19" t="s">
        <v>40</v>
      </c>
      <c r="D262" s="19" t="s">
        <v>2534</v>
      </c>
      <c r="E262" s="19" t="s">
        <v>2535</v>
      </c>
      <c r="F262" s="19" t="s">
        <v>2536</v>
      </c>
      <c r="I262" s="19" t="s">
        <v>2537</v>
      </c>
      <c r="K262" s="19" t="s">
        <v>2538</v>
      </c>
      <c r="M262" s="19" t="s">
        <v>2539</v>
      </c>
      <c r="P262" s="19" t="s">
        <v>2540</v>
      </c>
      <c r="Q262" s="19" t="s">
        <v>2541</v>
      </c>
      <c r="R262" s="19" t="s">
        <v>2542</v>
      </c>
    </row>
    <row r="263" spans="1:18">
      <c r="A263" s="19" t="s">
        <v>26</v>
      </c>
      <c r="B263" s="19" t="s">
        <v>2543</v>
      </c>
      <c r="C263" s="19" t="s">
        <v>40</v>
      </c>
      <c r="D263" s="19" t="s">
        <v>2544</v>
      </c>
      <c r="E263" s="19" t="s">
        <v>2545</v>
      </c>
      <c r="F263" s="19" t="s">
        <v>2546</v>
      </c>
      <c r="I263" s="19" t="s">
        <v>2547</v>
      </c>
      <c r="K263" s="19" t="s">
        <v>2548</v>
      </c>
      <c r="M263" s="19" t="s">
        <v>2549</v>
      </c>
      <c r="P263" s="19" t="s">
        <v>2550</v>
      </c>
      <c r="Q263" s="19" t="s">
        <v>2551</v>
      </c>
      <c r="R263" s="19" t="s">
        <v>2552</v>
      </c>
    </row>
    <row r="264" spans="1:18">
      <c r="A264" s="19" t="s">
        <v>26</v>
      </c>
      <c r="B264" s="19" t="s">
        <v>2553</v>
      </c>
      <c r="C264" s="19" t="s">
        <v>40</v>
      </c>
      <c r="D264" s="19" t="s">
        <v>2554</v>
      </c>
      <c r="E264" s="19" t="s">
        <v>2555</v>
      </c>
      <c r="F264" s="19" t="s">
        <v>2556</v>
      </c>
      <c r="I264" s="19" t="s">
        <v>2557</v>
      </c>
      <c r="K264" s="19" t="s">
        <v>2558</v>
      </c>
      <c r="M264" s="19" t="s">
        <v>2559</v>
      </c>
      <c r="P264" s="19" t="s">
        <v>2560</v>
      </c>
      <c r="Q264" s="19" t="s">
        <v>2561</v>
      </c>
      <c r="R264" s="19" t="s">
        <v>2562</v>
      </c>
    </row>
    <row r="265" spans="1:18">
      <c r="A265" s="19" t="s">
        <v>26</v>
      </c>
      <c r="B265" s="19" t="s">
        <v>2563</v>
      </c>
      <c r="C265" s="19" t="s">
        <v>40</v>
      </c>
      <c r="D265" s="19" t="s">
        <v>2564</v>
      </c>
      <c r="E265" s="19" t="s">
        <v>2565</v>
      </c>
      <c r="F265" s="19" t="s">
        <v>2566</v>
      </c>
      <c r="I265" s="19" t="s">
        <v>2567</v>
      </c>
      <c r="K265" s="19" t="s">
        <v>2568</v>
      </c>
      <c r="M265" s="19" t="s">
        <v>2569</v>
      </c>
      <c r="P265" s="19" t="s">
        <v>2570</v>
      </c>
      <c r="Q265" s="19" t="s">
        <v>2571</v>
      </c>
      <c r="R265" s="19" t="s">
        <v>2572</v>
      </c>
    </row>
    <row r="266" spans="1:18">
      <c r="A266" s="19" t="s">
        <v>26</v>
      </c>
      <c r="B266" s="19" t="s">
        <v>2573</v>
      </c>
      <c r="C266" s="19" t="s">
        <v>40</v>
      </c>
      <c r="D266" s="19" t="s">
        <v>2574</v>
      </c>
      <c r="E266" s="19" t="s">
        <v>2575</v>
      </c>
      <c r="F266" s="19" t="s">
        <v>2576</v>
      </c>
      <c r="I266" s="19" t="s">
        <v>2577</v>
      </c>
      <c r="K266" s="19" t="s">
        <v>2578</v>
      </c>
      <c r="M266" s="19" t="s">
        <v>2579</v>
      </c>
      <c r="P266" s="19" t="s">
        <v>2580</v>
      </c>
      <c r="Q266" s="19" t="s">
        <v>2581</v>
      </c>
      <c r="R266" s="19" t="s">
        <v>2582</v>
      </c>
    </row>
    <row r="267" spans="1:18">
      <c r="A267" s="19" t="s">
        <v>26</v>
      </c>
      <c r="B267" s="19" t="s">
        <v>2583</v>
      </c>
      <c r="C267" s="19" t="s">
        <v>40</v>
      </c>
      <c r="D267" s="19" t="s">
        <v>2584</v>
      </c>
      <c r="E267" s="19" t="s">
        <v>2585</v>
      </c>
      <c r="F267" s="19" t="s">
        <v>2586</v>
      </c>
      <c r="I267" s="19" t="s">
        <v>2587</v>
      </c>
      <c r="K267" s="19" t="s">
        <v>2588</v>
      </c>
      <c r="M267" s="19" t="s">
        <v>2589</v>
      </c>
      <c r="P267" s="19" t="s">
        <v>2590</v>
      </c>
      <c r="Q267" s="19" t="s">
        <v>2591</v>
      </c>
      <c r="R267" s="19" t="s">
        <v>2592</v>
      </c>
    </row>
    <row r="268" spans="1:18">
      <c r="A268" s="19" t="s">
        <v>26</v>
      </c>
      <c r="B268" s="19" t="s">
        <v>2593</v>
      </c>
      <c r="C268" s="19" t="s">
        <v>40</v>
      </c>
      <c r="D268" s="19" t="s">
        <v>2594</v>
      </c>
      <c r="E268" s="19" t="s">
        <v>2595</v>
      </c>
      <c r="F268" s="19" t="s">
        <v>2596</v>
      </c>
      <c r="I268" s="19" t="s">
        <v>2597</v>
      </c>
      <c r="K268" s="19" t="s">
        <v>2598</v>
      </c>
      <c r="M268" s="19" t="s">
        <v>2599</v>
      </c>
      <c r="P268" s="19" t="s">
        <v>2600</v>
      </c>
      <c r="Q268" s="19" t="s">
        <v>2601</v>
      </c>
      <c r="R268" s="19" t="s">
        <v>2602</v>
      </c>
    </row>
    <row r="269" spans="1:18">
      <c r="A269" s="19" t="s">
        <v>26</v>
      </c>
      <c r="B269" s="19" t="s">
        <v>2603</v>
      </c>
      <c r="C269" s="19" t="s">
        <v>40</v>
      </c>
      <c r="D269" s="19" t="s">
        <v>2604</v>
      </c>
      <c r="E269" s="19" t="s">
        <v>2605</v>
      </c>
      <c r="F269" s="19" t="s">
        <v>2606</v>
      </c>
      <c r="I269" s="19" t="s">
        <v>2607</v>
      </c>
      <c r="K269" s="19" t="s">
        <v>2608</v>
      </c>
      <c r="M269" s="19" t="s">
        <v>2609</v>
      </c>
      <c r="P269" s="19" t="s">
        <v>2610</v>
      </c>
      <c r="Q269" s="19" t="s">
        <v>2611</v>
      </c>
      <c r="R269" s="19" t="s">
        <v>2612</v>
      </c>
    </row>
    <row r="270" spans="1:18">
      <c r="A270" s="19" t="s">
        <v>26</v>
      </c>
      <c r="B270" s="19" t="s">
        <v>2613</v>
      </c>
      <c r="C270" s="19" t="s">
        <v>40</v>
      </c>
      <c r="D270" s="19" t="s">
        <v>2614</v>
      </c>
      <c r="E270" s="19" t="s">
        <v>2615</v>
      </c>
      <c r="F270" s="19" t="s">
        <v>2616</v>
      </c>
      <c r="I270" s="19" t="s">
        <v>2617</v>
      </c>
      <c r="K270" s="19" t="s">
        <v>2618</v>
      </c>
      <c r="M270" s="19" t="s">
        <v>2619</v>
      </c>
      <c r="P270" s="19" t="s">
        <v>2620</v>
      </c>
      <c r="Q270" s="19" t="s">
        <v>2621</v>
      </c>
      <c r="R270" s="19" t="s">
        <v>2622</v>
      </c>
    </row>
    <row r="271" spans="1:18">
      <c r="A271" s="19" t="s">
        <v>26</v>
      </c>
      <c r="B271" s="19" t="s">
        <v>2623</v>
      </c>
      <c r="C271" s="19" t="s">
        <v>40</v>
      </c>
      <c r="D271" s="19" t="s">
        <v>2624</v>
      </c>
      <c r="E271" s="19" t="s">
        <v>2625</v>
      </c>
      <c r="F271" s="19" t="s">
        <v>2626</v>
      </c>
      <c r="I271" s="19" t="s">
        <v>2627</v>
      </c>
      <c r="K271" s="19" t="s">
        <v>2628</v>
      </c>
      <c r="M271" s="19" t="s">
        <v>2629</v>
      </c>
      <c r="P271" s="19" t="s">
        <v>2630</v>
      </c>
      <c r="Q271" s="19" t="s">
        <v>2631</v>
      </c>
      <c r="R271" s="19" t="s">
        <v>2632</v>
      </c>
    </row>
    <row r="272" spans="1:18">
      <c r="A272" s="19" t="s">
        <v>26</v>
      </c>
      <c r="B272" s="19" t="s">
        <v>2633</v>
      </c>
      <c r="C272" s="19" t="s">
        <v>40</v>
      </c>
      <c r="D272" s="19" t="s">
        <v>2634</v>
      </c>
      <c r="E272" s="19" t="s">
        <v>2635</v>
      </c>
      <c r="F272" s="19" t="s">
        <v>2636</v>
      </c>
      <c r="I272" s="19" t="s">
        <v>2637</v>
      </c>
      <c r="K272" s="19" t="s">
        <v>2638</v>
      </c>
      <c r="M272" s="19" t="s">
        <v>2639</v>
      </c>
      <c r="P272" s="19" t="s">
        <v>2640</v>
      </c>
      <c r="Q272" s="19" t="s">
        <v>2641</v>
      </c>
      <c r="R272" s="19" t="s">
        <v>2642</v>
      </c>
    </row>
    <row r="273" spans="1:18">
      <c r="A273" s="19" t="s">
        <v>26</v>
      </c>
      <c r="B273" s="19" t="s">
        <v>2643</v>
      </c>
      <c r="C273" s="19" t="s">
        <v>40</v>
      </c>
      <c r="D273" s="19" t="s">
        <v>2644</v>
      </c>
      <c r="E273" s="19" t="s">
        <v>2645</v>
      </c>
      <c r="F273" s="19" t="s">
        <v>2646</v>
      </c>
      <c r="I273" s="19" t="s">
        <v>2647</v>
      </c>
      <c r="K273" s="19" t="s">
        <v>2648</v>
      </c>
      <c r="M273" s="19" t="s">
        <v>2649</v>
      </c>
      <c r="P273" s="19" t="s">
        <v>2650</v>
      </c>
      <c r="Q273" s="19" t="s">
        <v>2651</v>
      </c>
      <c r="R273" s="19" t="s">
        <v>2652</v>
      </c>
    </row>
    <row r="274" spans="1:18">
      <c r="A274" s="19" t="s">
        <v>26</v>
      </c>
      <c r="B274" s="19" t="s">
        <v>2653</v>
      </c>
      <c r="C274" s="19" t="s">
        <v>40</v>
      </c>
      <c r="D274" s="19" t="s">
        <v>2654</v>
      </c>
      <c r="E274" s="19" t="s">
        <v>2655</v>
      </c>
      <c r="F274" s="19" t="s">
        <v>2656</v>
      </c>
      <c r="I274" s="19" t="s">
        <v>2657</v>
      </c>
      <c r="K274" s="19" t="s">
        <v>2658</v>
      </c>
      <c r="M274" s="19" t="s">
        <v>2659</v>
      </c>
      <c r="P274" s="19" t="s">
        <v>2660</v>
      </c>
      <c r="Q274" s="19" t="s">
        <v>2661</v>
      </c>
      <c r="R274" s="19" t="s">
        <v>2662</v>
      </c>
    </row>
    <row r="275" spans="1:18">
      <c r="A275" s="19" t="s">
        <v>26</v>
      </c>
      <c r="B275" s="19" t="s">
        <v>2663</v>
      </c>
      <c r="C275" s="19" t="s">
        <v>40</v>
      </c>
      <c r="D275" s="19" t="s">
        <v>2664</v>
      </c>
      <c r="E275" s="19" t="s">
        <v>2665</v>
      </c>
      <c r="F275" s="19" t="s">
        <v>2666</v>
      </c>
      <c r="I275" s="19" t="s">
        <v>2667</v>
      </c>
      <c r="K275" s="19" t="s">
        <v>2668</v>
      </c>
      <c r="M275" s="19" t="s">
        <v>2669</v>
      </c>
      <c r="P275" s="19" t="s">
        <v>2670</v>
      </c>
      <c r="Q275" s="19" t="s">
        <v>2671</v>
      </c>
      <c r="R275" s="19" t="s">
        <v>2672</v>
      </c>
    </row>
    <row r="276" spans="1:18">
      <c r="A276" s="19" t="s">
        <v>26</v>
      </c>
      <c r="B276" s="19" t="s">
        <v>2673</v>
      </c>
      <c r="C276" s="19" t="s">
        <v>40</v>
      </c>
      <c r="D276" s="19" t="s">
        <v>2674</v>
      </c>
      <c r="E276" s="19" t="s">
        <v>2675</v>
      </c>
      <c r="F276" s="19" t="s">
        <v>2676</v>
      </c>
      <c r="I276" s="19" t="s">
        <v>2677</v>
      </c>
      <c r="K276" s="19" t="s">
        <v>2678</v>
      </c>
      <c r="M276" s="19" t="s">
        <v>2679</v>
      </c>
      <c r="P276" s="19" t="s">
        <v>2680</v>
      </c>
      <c r="Q276" s="19" t="s">
        <v>2681</v>
      </c>
      <c r="R276" s="19" t="s">
        <v>2682</v>
      </c>
    </row>
    <row r="277" spans="1:18">
      <c r="A277" s="19" t="s">
        <v>26</v>
      </c>
      <c r="B277" s="19" t="s">
        <v>2683</v>
      </c>
      <c r="C277" s="19" t="s">
        <v>40</v>
      </c>
      <c r="D277" s="19" t="s">
        <v>2684</v>
      </c>
      <c r="E277" s="19" t="s">
        <v>2685</v>
      </c>
      <c r="F277" s="19" t="s">
        <v>2686</v>
      </c>
      <c r="I277" s="19" t="s">
        <v>2687</v>
      </c>
      <c r="K277" s="19" t="s">
        <v>2688</v>
      </c>
      <c r="M277" s="19" t="s">
        <v>2689</v>
      </c>
      <c r="P277" s="19" t="s">
        <v>2690</v>
      </c>
      <c r="Q277" s="19" t="s">
        <v>2691</v>
      </c>
      <c r="R277" s="19" t="s">
        <v>2692</v>
      </c>
    </row>
    <row r="278" spans="1:18">
      <c r="A278" s="19" t="s">
        <v>26</v>
      </c>
      <c r="B278" s="19" t="s">
        <v>2693</v>
      </c>
      <c r="C278" s="19" t="s">
        <v>40</v>
      </c>
      <c r="D278" s="19" t="s">
        <v>2694</v>
      </c>
      <c r="E278" s="19" t="s">
        <v>2695</v>
      </c>
      <c r="F278" s="19" t="s">
        <v>2696</v>
      </c>
      <c r="I278" s="19" t="s">
        <v>2697</v>
      </c>
      <c r="K278" s="19" t="s">
        <v>2698</v>
      </c>
      <c r="M278" s="19" t="s">
        <v>2699</v>
      </c>
      <c r="P278" s="19" t="s">
        <v>2700</v>
      </c>
      <c r="Q278" s="19" t="s">
        <v>2701</v>
      </c>
      <c r="R278" s="19" t="s">
        <v>2702</v>
      </c>
    </row>
    <row r="279" spans="1:18">
      <c r="A279" s="19" t="s">
        <v>26</v>
      </c>
      <c r="B279" s="19" t="s">
        <v>2703</v>
      </c>
      <c r="C279" s="19" t="s">
        <v>40</v>
      </c>
      <c r="D279" s="19" t="s">
        <v>2704</v>
      </c>
      <c r="E279" s="19" t="s">
        <v>2705</v>
      </c>
      <c r="F279" s="19" t="s">
        <v>2706</v>
      </c>
      <c r="I279" s="19" t="s">
        <v>2707</v>
      </c>
      <c r="K279" s="19" t="s">
        <v>2708</v>
      </c>
      <c r="M279" s="19" t="s">
        <v>2709</v>
      </c>
      <c r="P279" s="19" t="s">
        <v>2710</v>
      </c>
      <c r="Q279" s="19" t="s">
        <v>2711</v>
      </c>
      <c r="R279" s="19" t="s">
        <v>2712</v>
      </c>
    </row>
    <row r="280" spans="1:18">
      <c r="A280" s="19" t="s">
        <v>26</v>
      </c>
      <c r="B280" s="19" t="s">
        <v>2713</v>
      </c>
      <c r="C280" s="19" t="s">
        <v>40</v>
      </c>
      <c r="D280" s="19" t="s">
        <v>2714</v>
      </c>
      <c r="E280" s="19" t="s">
        <v>2715</v>
      </c>
      <c r="F280" s="19" t="s">
        <v>2716</v>
      </c>
      <c r="I280" s="19" t="s">
        <v>2717</v>
      </c>
      <c r="K280" s="19" t="s">
        <v>2718</v>
      </c>
      <c r="M280" s="19" t="s">
        <v>2719</v>
      </c>
      <c r="P280" s="19" t="s">
        <v>2720</v>
      </c>
      <c r="Q280" s="19" t="s">
        <v>2721</v>
      </c>
      <c r="R280" s="19" t="s">
        <v>2722</v>
      </c>
    </row>
    <row r="281" spans="1:18">
      <c r="A281" s="19" t="s">
        <v>26</v>
      </c>
      <c r="B281" s="19" t="s">
        <v>2723</v>
      </c>
      <c r="C281" s="19" t="s">
        <v>40</v>
      </c>
      <c r="D281" s="19" t="s">
        <v>2724</v>
      </c>
      <c r="E281" s="19" t="s">
        <v>2725</v>
      </c>
      <c r="F281" s="19" t="s">
        <v>2726</v>
      </c>
      <c r="I281" s="19" t="s">
        <v>2727</v>
      </c>
      <c r="K281" s="19" t="s">
        <v>2728</v>
      </c>
      <c r="M281" s="19" t="s">
        <v>2729</v>
      </c>
      <c r="P281" s="19" t="s">
        <v>2730</v>
      </c>
      <c r="Q281" s="19" t="s">
        <v>2731</v>
      </c>
      <c r="R281" s="19" t="s">
        <v>2732</v>
      </c>
    </row>
    <row r="282" spans="1:18">
      <c r="A282" s="19" t="s">
        <v>26</v>
      </c>
      <c r="B282" s="19" t="s">
        <v>2733</v>
      </c>
      <c r="C282" s="19" t="s">
        <v>40</v>
      </c>
      <c r="D282" s="19" t="s">
        <v>2734</v>
      </c>
      <c r="E282" s="19" t="s">
        <v>2735</v>
      </c>
      <c r="F282" s="19" t="s">
        <v>2736</v>
      </c>
      <c r="I282" s="19" t="s">
        <v>2737</v>
      </c>
      <c r="K282" s="19" t="s">
        <v>2738</v>
      </c>
      <c r="M282" s="19" t="s">
        <v>2739</v>
      </c>
      <c r="P282" s="19" t="s">
        <v>2740</v>
      </c>
      <c r="Q282" s="19" t="s">
        <v>2741</v>
      </c>
      <c r="R282" s="19" t="s">
        <v>2742</v>
      </c>
    </row>
    <row r="283" spans="1:18">
      <c r="A283" s="19" t="s">
        <v>26</v>
      </c>
      <c r="B283" s="19" t="s">
        <v>2743</v>
      </c>
      <c r="C283" s="19" t="s">
        <v>40</v>
      </c>
      <c r="D283" s="19" t="s">
        <v>2744</v>
      </c>
      <c r="E283" s="19" t="s">
        <v>2745</v>
      </c>
      <c r="F283" s="19" t="s">
        <v>2746</v>
      </c>
      <c r="I283" s="19" t="s">
        <v>2747</v>
      </c>
      <c r="K283" s="19" t="s">
        <v>2748</v>
      </c>
      <c r="M283" s="19" t="s">
        <v>2749</v>
      </c>
      <c r="P283" s="19" t="s">
        <v>2750</v>
      </c>
      <c r="Q283" s="19" t="s">
        <v>2751</v>
      </c>
      <c r="R283" s="19" t="s">
        <v>2752</v>
      </c>
    </row>
    <row r="284" spans="1:18">
      <c r="A284" s="19" t="s">
        <v>26</v>
      </c>
      <c r="B284" s="19" t="s">
        <v>2753</v>
      </c>
      <c r="C284" s="19" t="s">
        <v>40</v>
      </c>
      <c r="D284" s="19" t="s">
        <v>2754</v>
      </c>
      <c r="E284" s="19" t="s">
        <v>2755</v>
      </c>
      <c r="F284" s="19" t="s">
        <v>2756</v>
      </c>
      <c r="I284" s="19" t="s">
        <v>2757</v>
      </c>
      <c r="K284" s="19" t="s">
        <v>2758</v>
      </c>
      <c r="M284" s="19" t="s">
        <v>2759</v>
      </c>
      <c r="P284" s="19" t="s">
        <v>2760</v>
      </c>
      <c r="Q284" s="19" t="s">
        <v>2761</v>
      </c>
      <c r="R284" s="19" t="s">
        <v>2762</v>
      </c>
    </row>
    <row r="285" spans="1:18">
      <c r="A285" s="19" t="s">
        <v>26</v>
      </c>
      <c r="B285" s="19" t="s">
        <v>2763</v>
      </c>
      <c r="C285" s="19" t="s">
        <v>40</v>
      </c>
      <c r="D285" s="19" t="s">
        <v>2764</v>
      </c>
      <c r="E285" s="19" t="s">
        <v>2765</v>
      </c>
      <c r="F285" s="19" t="s">
        <v>2766</v>
      </c>
      <c r="I285" s="19" t="s">
        <v>2767</v>
      </c>
      <c r="K285" s="19" t="s">
        <v>2768</v>
      </c>
      <c r="M285" s="19" t="s">
        <v>2769</v>
      </c>
      <c r="P285" s="19" t="s">
        <v>2770</v>
      </c>
      <c r="Q285" s="19" t="s">
        <v>2771</v>
      </c>
      <c r="R285" s="19" t="s">
        <v>2772</v>
      </c>
    </row>
    <row r="286" spans="1:18">
      <c r="A286" s="19" t="s">
        <v>26</v>
      </c>
      <c r="B286" s="19" t="s">
        <v>2773</v>
      </c>
      <c r="C286" s="19" t="s">
        <v>40</v>
      </c>
      <c r="D286" s="19" t="s">
        <v>2774</v>
      </c>
      <c r="E286" s="19" t="s">
        <v>2775</v>
      </c>
      <c r="F286" s="19" t="s">
        <v>2776</v>
      </c>
      <c r="I286" s="19" t="s">
        <v>2777</v>
      </c>
      <c r="K286" s="19" t="s">
        <v>2778</v>
      </c>
      <c r="M286" s="19" t="s">
        <v>2779</v>
      </c>
      <c r="P286" s="19" t="s">
        <v>2780</v>
      </c>
      <c r="Q286" s="19" t="s">
        <v>2781</v>
      </c>
      <c r="R286" s="19" t="s">
        <v>2782</v>
      </c>
    </row>
    <row r="287" spans="1:18">
      <c r="A287" s="19" t="s">
        <v>26</v>
      </c>
      <c r="B287" s="19" t="s">
        <v>2783</v>
      </c>
      <c r="C287" s="19" t="s">
        <v>40</v>
      </c>
      <c r="D287" s="19" t="s">
        <v>2784</v>
      </c>
      <c r="E287" s="19" t="s">
        <v>2785</v>
      </c>
      <c r="F287" s="19" t="s">
        <v>2786</v>
      </c>
      <c r="I287" s="19" t="s">
        <v>2787</v>
      </c>
      <c r="K287" s="19" t="s">
        <v>2788</v>
      </c>
      <c r="M287" s="19" t="s">
        <v>2789</v>
      </c>
      <c r="P287" s="19" t="s">
        <v>2790</v>
      </c>
      <c r="Q287" s="19" t="s">
        <v>2791</v>
      </c>
      <c r="R287" s="19" t="s">
        <v>2792</v>
      </c>
    </row>
    <row r="288" spans="1:18">
      <c r="A288" s="19" t="s">
        <v>26</v>
      </c>
      <c r="B288" s="19" t="s">
        <v>2793</v>
      </c>
      <c r="C288" s="19" t="s">
        <v>40</v>
      </c>
      <c r="D288" s="19" t="s">
        <v>2794</v>
      </c>
      <c r="E288" s="19" t="s">
        <v>2795</v>
      </c>
      <c r="F288" s="19" t="s">
        <v>2796</v>
      </c>
      <c r="I288" s="19" t="s">
        <v>2797</v>
      </c>
      <c r="K288" s="19" t="s">
        <v>2798</v>
      </c>
      <c r="M288" s="19" t="s">
        <v>2799</v>
      </c>
      <c r="P288" s="19" t="s">
        <v>2800</v>
      </c>
      <c r="Q288" s="19" t="s">
        <v>2801</v>
      </c>
      <c r="R288" s="19" t="s">
        <v>2802</v>
      </c>
    </row>
    <row r="289" spans="1:18">
      <c r="A289" s="19" t="s">
        <v>26</v>
      </c>
      <c r="B289" s="19" t="s">
        <v>2803</v>
      </c>
      <c r="C289" s="19" t="s">
        <v>40</v>
      </c>
      <c r="D289" s="19" t="s">
        <v>2804</v>
      </c>
      <c r="E289" s="19" t="s">
        <v>2805</v>
      </c>
      <c r="F289" s="19" t="s">
        <v>2806</v>
      </c>
      <c r="I289" s="19" t="s">
        <v>2807</v>
      </c>
      <c r="K289" s="19" t="s">
        <v>2808</v>
      </c>
      <c r="M289" s="19" t="s">
        <v>2809</v>
      </c>
      <c r="P289" s="19" t="s">
        <v>2810</v>
      </c>
      <c r="Q289" s="19" t="s">
        <v>2811</v>
      </c>
      <c r="R289" s="19" t="s">
        <v>2812</v>
      </c>
    </row>
    <row r="290" spans="1:18">
      <c r="A290" s="19" t="s">
        <v>26</v>
      </c>
      <c r="B290" s="19" t="s">
        <v>2813</v>
      </c>
      <c r="C290" s="19" t="s">
        <v>40</v>
      </c>
      <c r="D290" s="19" t="s">
        <v>2814</v>
      </c>
      <c r="E290" s="19" t="s">
        <v>2815</v>
      </c>
      <c r="F290" s="19" t="s">
        <v>2816</v>
      </c>
      <c r="I290" s="19" t="s">
        <v>2817</v>
      </c>
      <c r="K290" s="19" t="s">
        <v>2818</v>
      </c>
      <c r="M290" s="19" t="s">
        <v>2819</v>
      </c>
      <c r="P290" s="19" t="s">
        <v>2820</v>
      </c>
      <c r="Q290" s="19" t="s">
        <v>2821</v>
      </c>
      <c r="R290" s="19" t="s">
        <v>2822</v>
      </c>
    </row>
    <row r="291" spans="1:18">
      <c r="A291" s="19" t="s">
        <v>26</v>
      </c>
      <c r="B291" s="19" t="s">
        <v>2823</v>
      </c>
      <c r="C291" s="19" t="s">
        <v>40</v>
      </c>
      <c r="D291" s="19" t="s">
        <v>2824</v>
      </c>
      <c r="E291" s="19" t="s">
        <v>2825</v>
      </c>
      <c r="F291" s="19" t="s">
        <v>2826</v>
      </c>
      <c r="I291" s="19" t="s">
        <v>2827</v>
      </c>
      <c r="K291" s="19" t="s">
        <v>2828</v>
      </c>
      <c r="M291" s="19" t="s">
        <v>2829</v>
      </c>
      <c r="P291" s="19" t="s">
        <v>2830</v>
      </c>
      <c r="Q291" s="19" t="s">
        <v>2831</v>
      </c>
      <c r="R291" s="19" t="s">
        <v>2832</v>
      </c>
    </row>
    <row r="292" spans="1:18">
      <c r="A292" s="19" t="s">
        <v>26</v>
      </c>
      <c r="B292" s="19" t="s">
        <v>2833</v>
      </c>
      <c r="C292" s="19" t="s">
        <v>40</v>
      </c>
      <c r="D292" s="19" t="s">
        <v>2834</v>
      </c>
      <c r="E292" s="19" t="s">
        <v>2835</v>
      </c>
      <c r="F292" s="19" t="s">
        <v>2836</v>
      </c>
      <c r="I292" s="19" t="s">
        <v>2837</v>
      </c>
      <c r="K292" s="19" t="s">
        <v>2838</v>
      </c>
      <c r="M292" s="19" t="s">
        <v>2839</v>
      </c>
      <c r="P292" s="19" t="s">
        <v>2840</v>
      </c>
      <c r="Q292" s="19" t="s">
        <v>2841</v>
      </c>
      <c r="R292" s="19" t="s">
        <v>2842</v>
      </c>
    </row>
    <row r="293" spans="1:18">
      <c r="A293" s="19" t="s">
        <v>26</v>
      </c>
      <c r="B293" s="19" t="s">
        <v>2843</v>
      </c>
      <c r="C293" s="19" t="s">
        <v>40</v>
      </c>
      <c r="D293" s="19" t="s">
        <v>2844</v>
      </c>
      <c r="E293" s="19" t="s">
        <v>2845</v>
      </c>
      <c r="F293" s="19" t="s">
        <v>2846</v>
      </c>
      <c r="I293" s="19" t="s">
        <v>2847</v>
      </c>
      <c r="K293" s="19" t="s">
        <v>2848</v>
      </c>
      <c r="M293" s="19" t="s">
        <v>2849</v>
      </c>
      <c r="P293" s="19" t="s">
        <v>2850</v>
      </c>
      <c r="Q293" s="19" t="s">
        <v>2851</v>
      </c>
      <c r="R293" s="19" t="s">
        <v>2852</v>
      </c>
    </row>
    <row r="294" spans="1:18">
      <c r="A294" s="19" t="s">
        <v>26</v>
      </c>
      <c r="B294" s="19" t="s">
        <v>2853</v>
      </c>
      <c r="C294" s="19" t="s">
        <v>40</v>
      </c>
      <c r="D294" s="19" t="s">
        <v>2854</v>
      </c>
      <c r="E294" s="19" t="s">
        <v>2855</v>
      </c>
      <c r="F294" s="19" t="s">
        <v>2856</v>
      </c>
      <c r="I294" s="19" t="s">
        <v>2857</v>
      </c>
      <c r="K294" s="19" t="s">
        <v>2858</v>
      </c>
      <c r="M294" s="19" t="s">
        <v>2859</v>
      </c>
      <c r="P294" s="19" t="s">
        <v>2860</v>
      </c>
      <c r="Q294" s="19" t="s">
        <v>2861</v>
      </c>
      <c r="R294" s="19" t="s">
        <v>2862</v>
      </c>
    </row>
    <row r="295" spans="1:18">
      <c r="A295" s="19" t="s">
        <v>26</v>
      </c>
      <c r="B295" s="19" t="s">
        <v>2863</v>
      </c>
      <c r="C295" s="19" t="s">
        <v>40</v>
      </c>
      <c r="D295" s="19" t="s">
        <v>2864</v>
      </c>
      <c r="E295" s="19" t="s">
        <v>2865</v>
      </c>
      <c r="F295" s="19" t="s">
        <v>2866</v>
      </c>
      <c r="I295" s="19" t="s">
        <v>2867</v>
      </c>
      <c r="K295" s="19" t="s">
        <v>2868</v>
      </c>
      <c r="M295" s="19" t="s">
        <v>2869</v>
      </c>
      <c r="P295" s="19" t="s">
        <v>2870</v>
      </c>
      <c r="Q295" s="19" t="s">
        <v>2871</v>
      </c>
      <c r="R295" s="19" t="s">
        <v>2872</v>
      </c>
    </row>
    <row r="296" spans="1:18">
      <c r="A296" s="19" t="s">
        <v>26</v>
      </c>
      <c r="B296" s="19" t="s">
        <v>2873</v>
      </c>
      <c r="C296" s="19" t="s">
        <v>40</v>
      </c>
      <c r="D296" s="19" t="s">
        <v>2874</v>
      </c>
      <c r="E296" s="19" t="s">
        <v>2875</v>
      </c>
      <c r="F296" s="19" t="s">
        <v>2876</v>
      </c>
      <c r="I296" s="19" t="s">
        <v>2877</v>
      </c>
      <c r="K296" s="19" t="s">
        <v>2878</v>
      </c>
      <c r="M296" s="19" t="s">
        <v>2879</v>
      </c>
      <c r="P296" s="19" t="s">
        <v>2880</v>
      </c>
      <c r="Q296" s="19" t="s">
        <v>2881</v>
      </c>
      <c r="R296" s="19" t="s">
        <v>2882</v>
      </c>
    </row>
    <row r="297" spans="1:18">
      <c r="B297" s="19" t="s">
        <v>16</v>
      </c>
    </row>
    <row r="298" spans="1:18">
      <c r="B298" s="19" t="s">
        <v>2883</v>
      </c>
      <c r="F298" s="19" t="s">
        <v>2884</v>
      </c>
      <c r="I298" s="19" t="s">
        <v>2885</v>
      </c>
      <c r="K298" s="19" t="s">
        <v>2886</v>
      </c>
      <c r="M298" s="19" t="s">
        <v>2887</v>
      </c>
      <c r="P298" s="19" t="s">
        <v>2888</v>
      </c>
      <c r="Q298" s="19" t="s">
        <v>2889</v>
      </c>
      <c r="R298" s="19" t="s">
        <v>2890</v>
      </c>
    </row>
    <row r="299" spans="1:18">
      <c r="B299" s="19" t="s">
        <v>2401</v>
      </c>
    </row>
    <row r="300" spans="1:18">
      <c r="B300" s="19" t="s">
        <v>2891</v>
      </c>
      <c r="C300" s="19" t="s">
        <v>412</v>
      </c>
      <c r="F300" s="19" t="s">
        <v>2892</v>
      </c>
    </row>
    <row r="301" spans="1:18">
      <c r="B301" s="19" t="s">
        <v>2893</v>
      </c>
      <c r="C301" s="19" t="s">
        <v>41</v>
      </c>
      <c r="D301" s="19" t="s">
        <v>2894</v>
      </c>
      <c r="E301" s="19" t="s">
        <v>2895</v>
      </c>
      <c r="F301" s="19" t="s">
        <v>2896</v>
      </c>
      <c r="I301" s="19" t="s">
        <v>2897</v>
      </c>
      <c r="K301" s="19" t="s">
        <v>2898</v>
      </c>
      <c r="M301" s="19" t="s">
        <v>2899</v>
      </c>
      <c r="P301" s="19" t="s">
        <v>2900</v>
      </c>
      <c r="Q301" s="19" t="s">
        <v>2901</v>
      </c>
      <c r="R301" s="19" t="s">
        <v>2902</v>
      </c>
    </row>
    <row r="302" spans="1:18">
      <c r="A302" s="19" t="s">
        <v>26</v>
      </c>
      <c r="B302" s="19" t="s">
        <v>2903</v>
      </c>
      <c r="C302" s="19" t="s">
        <v>41</v>
      </c>
      <c r="D302" s="19" t="s">
        <v>2904</v>
      </c>
      <c r="E302" s="19" t="s">
        <v>2905</v>
      </c>
      <c r="F302" s="19" t="s">
        <v>2906</v>
      </c>
      <c r="I302" s="19" t="s">
        <v>2907</v>
      </c>
      <c r="K302" s="19" t="s">
        <v>2908</v>
      </c>
      <c r="M302" s="19" t="s">
        <v>2909</v>
      </c>
      <c r="P302" s="19" t="s">
        <v>2910</v>
      </c>
      <c r="Q302" s="19" t="s">
        <v>2911</v>
      </c>
      <c r="R302" s="19" t="s">
        <v>2912</v>
      </c>
    </row>
    <row r="303" spans="1:18">
      <c r="A303" s="19" t="s">
        <v>26</v>
      </c>
      <c r="B303" s="19" t="s">
        <v>2913</v>
      </c>
      <c r="C303" s="19" t="s">
        <v>41</v>
      </c>
      <c r="D303" s="19" t="s">
        <v>2914</v>
      </c>
      <c r="E303" s="19" t="s">
        <v>2915</v>
      </c>
      <c r="F303" s="19" t="s">
        <v>2916</v>
      </c>
      <c r="I303" s="19" t="s">
        <v>2917</v>
      </c>
      <c r="K303" s="19" t="s">
        <v>2918</v>
      </c>
      <c r="M303" s="19" t="s">
        <v>2919</v>
      </c>
      <c r="P303" s="19" t="s">
        <v>2920</v>
      </c>
      <c r="Q303" s="19" t="s">
        <v>2921</v>
      </c>
      <c r="R303" s="19" t="s">
        <v>2922</v>
      </c>
    </row>
    <row r="304" spans="1:18">
      <c r="A304" s="19" t="s">
        <v>26</v>
      </c>
      <c r="B304" s="19" t="s">
        <v>2923</v>
      </c>
      <c r="C304" s="19" t="s">
        <v>41</v>
      </c>
      <c r="D304" s="19" t="s">
        <v>2924</v>
      </c>
      <c r="E304" s="19" t="s">
        <v>2925</v>
      </c>
      <c r="F304" s="19" t="s">
        <v>2926</v>
      </c>
      <c r="I304" s="19" t="s">
        <v>2927</v>
      </c>
      <c r="K304" s="19" t="s">
        <v>2928</v>
      </c>
      <c r="M304" s="19" t="s">
        <v>2929</v>
      </c>
      <c r="P304" s="19" t="s">
        <v>2930</v>
      </c>
      <c r="Q304" s="19" t="s">
        <v>2931</v>
      </c>
      <c r="R304" s="19" t="s">
        <v>2932</v>
      </c>
    </row>
    <row r="305" spans="1:18">
      <c r="A305" s="19" t="s">
        <v>26</v>
      </c>
      <c r="B305" s="19" t="s">
        <v>2933</v>
      </c>
      <c r="C305" s="19" t="s">
        <v>41</v>
      </c>
      <c r="D305" s="19" t="s">
        <v>2934</v>
      </c>
      <c r="E305" s="19" t="s">
        <v>2935</v>
      </c>
      <c r="F305" s="19" t="s">
        <v>2936</v>
      </c>
      <c r="I305" s="19" t="s">
        <v>2937</v>
      </c>
      <c r="K305" s="19" t="s">
        <v>2938</v>
      </c>
      <c r="M305" s="19" t="s">
        <v>2939</v>
      </c>
      <c r="P305" s="19" t="s">
        <v>2940</v>
      </c>
      <c r="Q305" s="19" t="s">
        <v>2941</v>
      </c>
      <c r="R305" s="19" t="s">
        <v>2942</v>
      </c>
    </row>
    <row r="306" spans="1:18">
      <c r="B306" s="19" t="s">
        <v>16</v>
      </c>
    </row>
    <row r="307" spans="1:18">
      <c r="B307" s="19" t="s">
        <v>2943</v>
      </c>
      <c r="F307" s="19" t="s">
        <v>2944</v>
      </c>
      <c r="I307" s="19" t="s">
        <v>2945</v>
      </c>
      <c r="K307" s="19" t="s">
        <v>2946</v>
      </c>
      <c r="M307" s="19" t="s">
        <v>2947</v>
      </c>
      <c r="P307" s="19" t="s">
        <v>2948</v>
      </c>
      <c r="Q307" s="19" t="s">
        <v>2949</v>
      </c>
      <c r="R307" s="19" t="s">
        <v>2950</v>
      </c>
    </row>
    <row r="308" spans="1:18">
      <c r="B308" s="19" t="s">
        <v>2891</v>
      </c>
    </row>
    <row r="309" spans="1:18">
      <c r="B309" s="19" t="s">
        <v>2951</v>
      </c>
      <c r="C309" s="19" t="s">
        <v>433</v>
      </c>
      <c r="F309" s="19" t="s">
        <v>2952</v>
      </c>
    </row>
    <row r="310" spans="1:18">
      <c r="B310" s="19" t="s">
        <v>2953</v>
      </c>
      <c r="C310" s="19" t="s">
        <v>42</v>
      </c>
      <c r="D310" s="19" t="s">
        <v>2954</v>
      </c>
      <c r="E310" s="19" t="s">
        <v>2955</v>
      </c>
      <c r="F310" s="19" t="s">
        <v>2956</v>
      </c>
      <c r="I310" s="19" t="s">
        <v>2957</v>
      </c>
      <c r="K310" s="19" t="s">
        <v>2958</v>
      </c>
      <c r="M310" s="19" t="s">
        <v>2959</v>
      </c>
      <c r="P310" s="19" t="s">
        <v>2960</v>
      </c>
      <c r="Q310" s="19" t="s">
        <v>2961</v>
      </c>
      <c r="R310" s="19" t="s">
        <v>2962</v>
      </c>
    </row>
    <row r="311" spans="1:18">
      <c r="A311" s="19" t="s">
        <v>26</v>
      </c>
      <c r="B311" s="19" t="s">
        <v>2963</v>
      </c>
      <c r="C311" s="19" t="s">
        <v>42</v>
      </c>
      <c r="D311" s="19" t="s">
        <v>2964</v>
      </c>
      <c r="E311" s="19" t="s">
        <v>2965</v>
      </c>
      <c r="F311" s="19" t="s">
        <v>2966</v>
      </c>
      <c r="I311" s="19" t="s">
        <v>2967</v>
      </c>
      <c r="K311" s="19" t="s">
        <v>2968</v>
      </c>
      <c r="M311" s="19" t="s">
        <v>2969</v>
      </c>
      <c r="P311" s="19" t="s">
        <v>2970</v>
      </c>
      <c r="Q311" s="19" t="s">
        <v>2971</v>
      </c>
      <c r="R311" s="19" t="s">
        <v>2972</v>
      </c>
    </row>
    <row r="312" spans="1:18">
      <c r="A312" s="19" t="s">
        <v>26</v>
      </c>
      <c r="B312" s="19" t="s">
        <v>2973</v>
      </c>
      <c r="C312" s="19" t="s">
        <v>42</v>
      </c>
      <c r="D312" s="19" t="s">
        <v>2974</v>
      </c>
      <c r="E312" s="19" t="s">
        <v>2975</v>
      </c>
      <c r="F312" s="19" t="s">
        <v>2976</v>
      </c>
      <c r="I312" s="19" t="s">
        <v>2977</v>
      </c>
      <c r="K312" s="19" t="s">
        <v>2978</v>
      </c>
      <c r="M312" s="19" t="s">
        <v>2979</v>
      </c>
      <c r="P312" s="19" t="s">
        <v>2980</v>
      </c>
      <c r="Q312" s="19" t="s">
        <v>2981</v>
      </c>
      <c r="R312" s="19" t="s">
        <v>2982</v>
      </c>
    </row>
    <row r="313" spans="1:18">
      <c r="A313" s="19" t="s">
        <v>26</v>
      </c>
      <c r="B313" s="19" t="s">
        <v>2983</v>
      </c>
      <c r="C313" s="19" t="s">
        <v>42</v>
      </c>
      <c r="D313" s="19" t="s">
        <v>2984</v>
      </c>
      <c r="E313" s="19" t="s">
        <v>2985</v>
      </c>
      <c r="F313" s="19" t="s">
        <v>2986</v>
      </c>
      <c r="I313" s="19" t="s">
        <v>2987</v>
      </c>
      <c r="K313" s="19" t="s">
        <v>2988</v>
      </c>
      <c r="M313" s="19" t="s">
        <v>2989</v>
      </c>
      <c r="P313" s="19" t="s">
        <v>2990</v>
      </c>
      <c r="Q313" s="19" t="s">
        <v>2991</v>
      </c>
      <c r="R313" s="19" t="s">
        <v>2992</v>
      </c>
    </row>
    <row r="314" spans="1:18">
      <c r="A314" s="19" t="s">
        <v>26</v>
      </c>
      <c r="B314" s="19" t="s">
        <v>2993</v>
      </c>
      <c r="C314" s="19" t="s">
        <v>42</v>
      </c>
      <c r="D314" s="19" t="s">
        <v>2994</v>
      </c>
      <c r="E314" s="19" t="s">
        <v>2995</v>
      </c>
      <c r="F314" s="19" t="s">
        <v>2996</v>
      </c>
      <c r="I314" s="19" t="s">
        <v>2997</v>
      </c>
      <c r="K314" s="19" t="s">
        <v>2998</v>
      </c>
      <c r="M314" s="19" t="s">
        <v>2999</v>
      </c>
      <c r="P314" s="19" t="s">
        <v>3000</v>
      </c>
      <c r="Q314" s="19" t="s">
        <v>3001</v>
      </c>
      <c r="R314" s="19" t="s">
        <v>3002</v>
      </c>
    </row>
    <row r="315" spans="1:18">
      <c r="A315" s="19" t="s">
        <v>26</v>
      </c>
      <c r="B315" s="19" t="s">
        <v>3003</v>
      </c>
      <c r="C315" s="19" t="s">
        <v>42</v>
      </c>
      <c r="D315" s="19" t="s">
        <v>3004</v>
      </c>
      <c r="E315" s="19" t="s">
        <v>3005</v>
      </c>
      <c r="F315" s="19" t="s">
        <v>3006</v>
      </c>
      <c r="I315" s="19" t="s">
        <v>3007</v>
      </c>
      <c r="K315" s="19" t="s">
        <v>3008</v>
      </c>
      <c r="M315" s="19" t="s">
        <v>3009</v>
      </c>
      <c r="P315" s="19" t="s">
        <v>3010</v>
      </c>
      <c r="Q315" s="19" t="s">
        <v>3011</v>
      </c>
      <c r="R315" s="19" t="s">
        <v>3012</v>
      </c>
    </row>
    <row r="316" spans="1:18">
      <c r="A316" s="19" t="s">
        <v>26</v>
      </c>
      <c r="B316" s="19" t="s">
        <v>3013</v>
      </c>
      <c r="C316" s="19" t="s">
        <v>42</v>
      </c>
      <c r="D316" s="19" t="s">
        <v>3014</v>
      </c>
      <c r="E316" s="19" t="s">
        <v>3015</v>
      </c>
      <c r="F316" s="19" t="s">
        <v>3016</v>
      </c>
      <c r="I316" s="19" t="s">
        <v>3017</v>
      </c>
      <c r="K316" s="19" t="s">
        <v>3018</v>
      </c>
      <c r="M316" s="19" t="s">
        <v>3019</v>
      </c>
      <c r="P316" s="19" t="s">
        <v>3020</v>
      </c>
      <c r="Q316" s="19" t="s">
        <v>3021</v>
      </c>
      <c r="R316" s="19" t="s">
        <v>3022</v>
      </c>
    </row>
    <row r="317" spans="1:18">
      <c r="A317" s="19" t="s">
        <v>26</v>
      </c>
      <c r="B317" s="19" t="s">
        <v>3023</v>
      </c>
      <c r="C317" s="19" t="s">
        <v>42</v>
      </c>
      <c r="D317" s="19" t="s">
        <v>3024</v>
      </c>
      <c r="E317" s="19" t="s">
        <v>3025</v>
      </c>
      <c r="F317" s="19" t="s">
        <v>3026</v>
      </c>
      <c r="I317" s="19" t="s">
        <v>3027</v>
      </c>
      <c r="K317" s="19" t="s">
        <v>3028</v>
      </c>
      <c r="M317" s="19" t="s">
        <v>3029</v>
      </c>
      <c r="P317" s="19" t="s">
        <v>3030</v>
      </c>
      <c r="Q317" s="19" t="s">
        <v>3031</v>
      </c>
      <c r="R317" s="19" t="s">
        <v>3032</v>
      </c>
    </row>
    <row r="318" spans="1:18">
      <c r="B318" s="19" t="s">
        <v>16</v>
      </c>
    </row>
    <row r="319" spans="1:18">
      <c r="B319" s="19" t="s">
        <v>3033</v>
      </c>
      <c r="F319" s="19" t="s">
        <v>3034</v>
      </c>
      <c r="I319" s="19" t="s">
        <v>3035</v>
      </c>
      <c r="K319" s="19" t="s">
        <v>3036</v>
      </c>
      <c r="M319" s="19" t="s">
        <v>3037</v>
      </c>
      <c r="P319" s="19" t="s">
        <v>3038</v>
      </c>
      <c r="Q319" s="19" t="s">
        <v>3039</v>
      </c>
      <c r="R319" s="19" t="s">
        <v>3040</v>
      </c>
    </row>
    <row r="320" spans="1:18">
      <c r="B320" s="19" t="s">
        <v>2951</v>
      </c>
    </row>
    <row r="321" spans="1:18">
      <c r="B321" s="19" t="s">
        <v>3041</v>
      </c>
      <c r="C321" s="19" t="s">
        <v>454</v>
      </c>
      <c r="F321" s="19" t="s">
        <v>3042</v>
      </c>
    </row>
    <row r="322" spans="1:18">
      <c r="B322" s="19" t="s">
        <v>3043</v>
      </c>
      <c r="C322" s="19" t="s">
        <v>43</v>
      </c>
      <c r="D322" s="19" t="s">
        <v>3044</v>
      </c>
      <c r="E322" s="19" t="s">
        <v>3045</v>
      </c>
      <c r="F322" s="19" t="s">
        <v>3046</v>
      </c>
      <c r="I322" s="19" t="s">
        <v>3047</v>
      </c>
      <c r="K322" s="19" t="s">
        <v>3048</v>
      </c>
      <c r="M322" s="19" t="s">
        <v>3049</v>
      </c>
      <c r="P322" s="19" t="s">
        <v>3050</v>
      </c>
      <c r="Q322" s="19" t="s">
        <v>3051</v>
      </c>
      <c r="R322" s="19" t="s">
        <v>3052</v>
      </c>
    </row>
    <row r="323" spans="1:18">
      <c r="A323" s="19" t="s">
        <v>26</v>
      </c>
      <c r="B323" s="19" t="s">
        <v>3053</v>
      </c>
      <c r="C323" s="19" t="s">
        <v>43</v>
      </c>
      <c r="D323" s="19" t="s">
        <v>3054</v>
      </c>
      <c r="E323" s="19" t="s">
        <v>3055</v>
      </c>
      <c r="F323" s="19" t="s">
        <v>3056</v>
      </c>
      <c r="I323" s="19" t="s">
        <v>3057</v>
      </c>
      <c r="K323" s="19" t="s">
        <v>3058</v>
      </c>
      <c r="M323" s="19" t="s">
        <v>3059</v>
      </c>
      <c r="P323" s="19" t="s">
        <v>3060</v>
      </c>
      <c r="Q323" s="19" t="s">
        <v>3061</v>
      </c>
      <c r="R323" s="19" t="s">
        <v>3062</v>
      </c>
    </row>
    <row r="324" spans="1:18">
      <c r="A324" s="19" t="s">
        <v>26</v>
      </c>
      <c r="B324" s="19" t="s">
        <v>3063</v>
      </c>
      <c r="C324" s="19" t="s">
        <v>43</v>
      </c>
      <c r="D324" s="19" t="s">
        <v>3064</v>
      </c>
      <c r="E324" s="19" t="s">
        <v>3065</v>
      </c>
      <c r="F324" s="19" t="s">
        <v>3066</v>
      </c>
      <c r="I324" s="19" t="s">
        <v>3067</v>
      </c>
      <c r="K324" s="19" t="s">
        <v>3068</v>
      </c>
      <c r="M324" s="19" t="s">
        <v>3069</v>
      </c>
      <c r="P324" s="19" t="s">
        <v>3070</v>
      </c>
      <c r="Q324" s="19" t="s">
        <v>3071</v>
      </c>
      <c r="R324" s="19" t="s">
        <v>3072</v>
      </c>
    </row>
    <row r="325" spans="1:18">
      <c r="A325" s="19" t="s">
        <v>26</v>
      </c>
      <c r="B325" s="19" t="s">
        <v>3073</v>
      </c>
      <c r="C325" s="19" t="s">
        <v>43</v>
      </c>
      <c r="D325" s="19" t="s">
        <v>3074</v>
      </c>
      <c r="E325" s="19" t="s">
        <v>3075</v>
      </c>
      <c r="F325" s="19" t="s">
        <v>3076</v>
      </c>
      <c r="I325" s="19" t="s">
        <v>3077</v>
      </c>
      <c r="K325" s="19" t="s">
        <v>3078</v>
      </c>
      <c r="M325" s="19" t="s">
        <v>3079</v>
      </c>
      <c r="P325" s="19" t="s">
        <v>3080</v>
      </c>
      <c r="Q325" s="19" t="s">
        <v>3081</v>
      </c>
      <c r="R325" s="19" t="s">
        <v>3082</v>
      </c>
    </row>
    <row r="326" spans="1:18">
      <c r="A326" s="19" t="s">
        <v>26</v>
      </c>
      <c r="B326" s="19" t="s">
        <v>3083</v>
      </c>
      <c r="C326" s="19" t="s">
        <v>43</v>
      </c>
      <c r="D326" s="19" t="s">
        <v>3084</v>
      </c>
      <c r="E326" s="19" t="s">
        <v>3085</v>
      </c>
      <c r="F326" s="19" t="s">
        <v>3086</v>
      </c>
      <c r="I326" s="19" t="s">
        <v>3087</v>
      </c>
      <c r="K326" s="19" t="s">
        <v>3088</v>
      </c>
      <c r="M326" s="19" t="s">
        <v>3089</v>
      </c>
      <c r="P326" s="19" t="s">
        <v>3090</v>
      </c>
      <c r="Q326" s="19" t="s">
        <v>3091</v>
      </c>
      <c r="R326" s="19" t="s">
        <v>3092</v>
      </c>
    </row>
    <row r="327" spans="1:18">
      <c r="B327" s="19" t="s">
        <v>16</v>
      </c>
    </row>
    <row r="328" spans="1:18">
      <c r="B328" s="19" t="s">
        <v>3093</v>
      </c>
      <c r="F328" s="19" t="s">
        <v>3094</v>
      </c>
      <c r="I328" s="19" t="s">
        <v>3095</v>
      </c>
      <c r="K328" s="19" t="s">
        <v>3096</v>
      </c>
      <c r="M328" s="19" t="s">
        <v>3097</v>
      </c>
      <c r="P328" s="19" t="s">
        <v>3098</v>
      </c>
      <c r="Q328" s="19" t="s">
        <v>3099</v>
      </c>
      <c r="R328" s="19" t="s">
        <v>3100</v>
      </c>
    </row>
    <row r="329" spans="1:18">
      <c r="B329" s="19" t="s">
        <v>3041</v>
      </c>
    </row>
    <row r="330" spans="1:18">
      <c r="B330" s="19" t="s">
        <v>3101</v>
      </c>
      <c r="C330" s="19" t="s">
        <v>475</v>
      </c>
      <c r="F330" s="19" t="s">
        <v>3102</v>
      </c>
    </row>
    <row r="331" spans="1:18">
      <c r="B331" s="19" t="s">
        <v>3103</v>
      </c>
      <c r="C331" s="19" t="s">
        <v>44</v>
      </c>
      <c r="D331" s="19" t="s">
        <v>3104</v>
      </c>
      <c r="E331" s="19" t="s">
        <v>3105</v>
      </c>
      <c r="F331" s="19" t="s">
        <v>3106</v>
      </c>
      <c r="I331" s="19" t="s">
        <v>3107</v>
      </c>
      <c r="K331" s="19" t="s">
        <v>3108</v>
      </c>
      <c r="M331" s="19" t="s">
        <v>3109</v>
      </c>
      <c r="P331" s="19" t="s">
        <v>3110</v>
      </c>
      <c r="Q331" s="19" t="s">
        <v>3111</v>
      </c>
      <c r="R331" s="19" t="s">
        <v>3112</v>
      </c>
    </row>
    <row r="332" spans="1:18">
      <c r="B332" s="19" t="s">
        <v>16</v>
      </c>
    </row>
    <row r="333" spans="1:18">
      <c r="B333" s="19" t="s">
        <v>3113</v>
      </c>
      <c r="F333" s="19" t="s">
        <v>3114</v>
      </c>
      <c r="I333" s="19" t="s">
        <v>3115</v>
      </c>
      <c r="K333" s="19" t="s">
        <v>3116</v>
      </c>
      <c r="M333" s="19" t="s">
        <v>3117</v>
      </c>
      <c r="P333" s="19" t="s">
        <v>3118</v>
      </c>
      <c r="Q333" s="19" t="s">
        <v>3119</v>
      </c>
      <c r="R333" s="19" t="s">
        <v>3120</v>
      </c>
    </row>
    <row r="334" spans="1:18">
      <c r="B334" s="19" t="s">
        <v>3101</v>
      </c>
    </row>
    <row r="335" spans="1:18">
      <c r="B335" s="19" t="s">
        <v>3121</v>
      </c>
      <c r="F335" s="19" t="s">
        <v>45</v>
      </c>
      <c r="I335" s="19" t="s">
        <v>3122</v>
      </c>
      <c r="K335" s="19" t="s">
        <v>3123</v>
      </c>
      <c r="M335" s="19" t="s">
        <v>3124</v>
      </c>
      <c r="P335" s="19" t="s">
        <v>948</v>
      </c>
      <c r="Q335" s="19" t="s">
        <v>949</v>
      </c>
      <c r="R335" s="19" t="s">
        <v>3125</v>
      </c>
    </row>
    <row r="336" spans="1:18">
      <c r="B336" s="19" t="s">
        <v>16</v>
      </c>
    </row>
    <row r="338" spans="1:18">
      <c r="F338" s="19" t="s">
        <v>46</v>
      </c>
    </row>
    <row r="340" spans="1:18">
      <c r="B340" s="19" t="s">
        <v>3126</v>
      </c>
      <c r="C340" s="19" t="s">
        <v>501</v>
      </c>
      <c r="F340" s="19" t="s">
        <v>3127</v>
      </c>
    </row>
    <row r="341" spans="1:18">
      <c r="B341" s="19" t="s">
        <v>3128</v>
      </c>
      <c r="C341" s="19" t="s">
        <v>47</v>
      </c>
      <c r="D341" s="19" t="s">
        <v>3129</v>
      </c>
      <c r="E341" s="19" t="s">
        <v>3130</v>
      </c>
      <c r="F341" s="19" t="s">
        <v>3131</v>
      </c>
      <c r="I341" s="19" t="s">
        <v>3132</v>
      </c>
      <c r="K341" s="19" t="s">
        <v>3133</v>
      </c>
      <c r="M341" s="19" t="s">
        <v>3134</v>
      </c>
      <c r="P341" s="19" t="s">
        <v>3135</v>
      </c>
      <c r="Q341" s="19" t="s">
        <v>3136</v>
      </c>
      <c r="R341" s="19" t="s">
        <v>3137</v>
      </c>
    </row>
    <row r="342" spans="1:18">
      <c r="A342" s="19" t="s">
        <v>26</v>
      </c>
      <c r="B342" s="19" t="s">
        <v>3138</v>
      </c>
      <c r="C342" s="19" t="s">
        <v>47</v>
      </c>
      <c r="D342" s="19" t="s">
        <v>3139</v>
      </c>
      <c r="E342" s="19" t="s">
        <v>3140</v>
      </c>
      <c r="F342" s="19" t="s">
        <v>3141</v>
      </c>
      <c r="I342" s="19" t="s">
        <v>3142</v>
      </c>
      <c r="K342" s="19" t="s">
        <v>3143</v>
      </c>
      <c r="M342" s="19" t="s">
        <v>3144</v>
      </c>
      <c r="P342" s="19" t="s">
        <v>3145</v>
      </c>
      <c r="Q342" s="19" t="s">
        <v>3146</v>
      </c>
      <c r="R342" s="19" t="s">
        <v>3147</v>
      </c>
    </row>
    <row r="343" spans="1:18">
      <c r="A343" s="19" t="s">
        <v>26</v>
      </c>
      <c r="B343" s="19" t="s">
        <v>3148</v>
      </c>
      <c r="C343" s="19" t="s">
        <v>47</v>
      </c>
      <c r="D343" s="19" t="s">
        <v>3149</v>
      </c>
      <c r="E343" s="19" t="s">
        <v>3150</v>
      </c>
      <c r="F343" s="19" t="s">
        <v>3151</v>
      </c>
      <c r="I343" s="19" t="s">
        <v>3152</v>
      </c>
      <c r="K343" s="19" t="s">
        <v>3153</v>
      </c>
      <c r="M343" s="19" t="s">
        <v>3154</v>
      </c>
      <c r="P343" s="19" t="s">
        <v>3155</v>
      </c>
      <c r="Q343" s="19" t="s">
        <v>3156</v>
      </c>
      <c r="R343" s="19" t="s">
        <v>3157</v>
      </c>
    </row>
    <row r="344" spans="1:18">
      <c r="B344" s="19" t="s">
        <v>16</v>
      </c>
    </row>
    <row r="345" spans="1:18">
      <c r="B345" s="19" t="s">
        <v>3158</v>
      </c>
      <c r="F345" s="19" t="s">
        <v>3159</v>
      </c>
      <c r="I345" s="19" t="s">
        <v>3160</v>
      </c>
      <c r="K345" s="19" t="s">
        <v>3161</v>
      </c>
      <c r="M345" s="19" t="s">
        <v>3162</v>
      </c>
      <c r="P345" s="19" t="s">
        <v>3163</v>
      </c>
      <c r="Q345" s="19" t="s">
        <v>3164</v>
      </c>
      <c r="R345" s="19" t="s">
        <v>3165</v>
      </c>
    </row>
    <row r="346" spans="1:18">
      <c r="B346" s="19" t="s">
        <v>3126</v>
      </c>
    </row>
    <row r="347" spans="1:18">
      <c r="B347" s="19" t="s">
        <v>3166</v>
      </c>
      <c r="C347" s="19" t="s">
        <v>522</v>
      </c>
      <c r="F347" s="19" t="s">
        <v>3167</v>
      </c>
    </row>
    <row r="348" spans="1:18">
      <c r="B348" s="19" t="s">
        <v>3168</v>
      </c>
      <c r="C348" s="19" t="s">
        <v>48</v>
      </c>
      <c r="D348" s="19" t="s">
        <v>3169</v>
      </c>
      <c r="E348" s="19" t="s">
        <v>3170</v>
      </c>
      <c r="F348" s="19" t="s">
        <v>3171</v>
      </c>
      <c r="I348" s="19" t="s">
        <v>3172</v>
      </c>
      <c r="K348" s="19" t="s">
        <v>3173</v>
      </c>
      <c r="M348" s="19" t="s">
        <v>3174</v>
      </c>
      <c r="P348" s="19" t="s">
        <v>3175</v>
      </c>
      <c r="Q348" s="19" t="s">
        <v>3176</v>
      </c>
      <c r="R348" s="19" t="s">
        <v>3177</v>
      </c>
    </row>
    <row r="349" spans="1:18">
      <c r="A349" s="19" t="s">
        <v>26</v>
      </c>
      <c r="B349" s="19" t="s">
        <v>3178</v>
      </c>
      <c r="C349" s="19" t="s">
        <v>48</v>
      </c>
      <c r="D349" s="19" t="s">
        <v>3179</v>
      </c>
      <c r="E349" s="19" t="s">
        <v>3180</v>
      </c>
      <c r="F349" s="19" t="s">
        <v>3181</v>
      </c>
      <c r="I349" s="19" t="s">
        <v>3182</v>
      </c>
      <c r="K349" s="19" t="s">
        <v>3183</v>
      </c>
      <c r="M349" s="19" t="s">
        <v>3184</v>
      </c>
      <c r="P349" s="19" t="s">
        <v>3185</v>
      </c>
      <c r="Q349" s="19" t="s">
        <v>3186</v>
      </c>
      <c r="R349" s="19" t="s">
        <v>3187</v>
      </c>
    </row>
    <row r="350" spans="1:18">
      <c r="A350" s="19" t="s">
        <v>26</v>
      </c>
      <c r="B350" s="19" t="s">
        <v>3188</v>
      </c>
      <c r="C350" s="19" t="s">
        <v>48</v>
      </c>
      <c r="D350" s="19" t="s">
        <v>3189</v>
      </c>
      <c r="E350" s="19" t="s">
        <v>3190</v>
      </c>
      <c r="F350" s="19" t="s">
        <v>3191</v>
      </c>
      <c r="I350" s="19" t="s">
        <v>3192</v>
      </c>
      <c r="K350" s="19" t="s">
        <v>3193</v>
      </c>
      <c r="M350" s="19" t="s">
        <v>3194</v>
      </c>
      <c r="P350" s="19" t="s">
        <v>3195</v>
      </c>
      <c r="Q350" s="19" t="s">
        <v>3196</v>
      </c>
      <c r="R350" s="19" t="s">
        <v>3197</v>
      </c>
    </row>
    <row r="351" spans="1:18">
      <c r="A351" s="19" t="s">
        <v>26</v>
      </c>
      <c r="B351" s="19" t="s">
        <v>3198</v>
      </c>
      <c r="C351" s="19" t="s">
        <v>48</v>
      </c>
      <c r="D351" s="19" t="s">
        <v>3199</v>
      </c>
      <c r="E351" s="19" t="s">
        <v>3200</v>
      </c>
      <c r="F351" s="19" t="s">
        <v>3201</v>
      </c>
      <c r="I351" s="19" t="s">
        <v>3202</v>
      </c>
      <c r="K351" s="19" t="s">
        <v>3203</v>
      </c>
      <c r="M351" s="19" t="s">
        <v>3204</v>
      </c>
      <c r="P351" s="19" t="s">
        <v>3205</v>
      </c>
      <c r="Q351" s="19" t="s">
        <v>3206</v>
      </c>
      <c r="R351" s="19" t="s">
        <v>3207</v>
      </c>
    </row>
    <row r="352" spans="1:18">
      <c r="A352" s="19" t="s">
        <v>26</v>
      </c>
      <c r="B352" s="19" t="s">
        <v>3208</v>
      </c>
      <c r="C352" s="19" t="s">
        <v>48</v>
      </c>
      <c r="D352" s="19" t="s">
        <v>3209</v>
      </c>
      <c r="E352" s="19" t="s">
        <v>3210</v>
      </c>
      <c r="F352" s="19" t="s">
        <v>3211</v>
      </c>
      <c r="I352" s="19" t="s">
        <v>3212</v>
      </c>
      <c r="K352" s="19" t="s">
        <v>3213</v>
      </c>
      <c r="M352" s="19" t="s">
        <v>3214</v>
      </c>
      <c r="P352" s="19" t="s">
        <v>3215</v>
      </c>
      <c r="Q352" s="19" t="s">
        <v>3216</v>
      </c>
      <c r="R352" s="19" t="s">
        <v>3217</v>
      </c>
    </row>
    <row r="353" spans="1:18">
      <c r="A353" s="19" t="s">
        <v>26</v>
      </c>
      <c r="B353" s="19" t="s">
        <v>3218</v>
      </c>
      <c r="C353" s="19" t="s">
        <v>48</v>
      </c>
      <c r="D353" s="19" t="s">
        <v>3219</v>
      </c>
      <c r="E353" s="19" t="s">
        <v>3220</v>
      </c>
      <c r="F353" s="19" t="s">
        <v>3221</v>
      </c>
      <c r="I353" s="19" t="s">
        <v>3222</v>
      </c>
      <c r="K353" s="19" t="s">
        <v>3223</v>
      </c>
      <c r="M353" s="19" t="s">
        <v>3224</v>
      </c>
      <c r="P353" s="19" t="s">
        <v>3225</v>
      </c>
      <c r="Q353" s="19" t="s">
        <v>3226</v>
      </c>
      <c r="R353" s="19" t="s">
        <v>3227</v>
      </c>
    </row>
    <row r="354" spans="1:18">
      <c r="A354" s="19" t="s">
        <v>26</v>
      </c>
      <c r="B354" s="19" t="s">
        <v>3228</v>
      </c>
      <c r="C354" s="19" t="s">
        <v>48</v>
      </c>
      <c r="D354" s="19" t="s">
        <v>3229</v>
      </c>
      <c r="E354" s="19" t="s">
        <v>3230</v>
      </c>
      <c r="F354" s="19" t="s">
        <v>3231</v>
      </c>
      <c r="I354" s="19" t="s">
        <v>3232</v>
      </c>
      <c r="K354" s="19" t="s">
        <v>3233</v>
      </c>
      <c r="M354" s="19" t="s">
        <v>3234</v>
      </c>
      <c r="P354" s="19" t="s">
        <v>3235</v>
      </c>
      <c r="Q354" s="19" t="s">
        <v>3236</v>
      </c>
      <c r="R354" s="19" t="s">
        <v>3237</v>
      </c>
    </row>
    <row r="355" spans="1:18">
      <c r="A355" s="19" t="s">
        <v>26</v>
      </c>
      <c r="B355" s="19" t="s">
        <v>3238</v>
      </c>
      <c r="C355" s="19" t="s">
        <v>48</v>
      </c>
      <c r="D355" s="19" t="s">
        <v>3239</v>
      </c>
      <c r="E355" s="19" t="s">
        <v>3240</v>
      </c>
      <c r="F355" s="19" t="s">
        <v>3241</v>
      </c>
      <c r="I355" s="19" t="s">
        <v>3242</v>
      </c>
      <c r="K355" s="19" t="s">
        <v>3243</v>
      </c>
      <c r="M355" s="19" t="s">
        <v>3244</v>
      </c>
      <c r="P355" s="19" t="s">
        <v>3245</v>
      </c>
      <c r="Q355" s="19" t="s">
        <v>3246</v>
      </c>
      <c r="R355" s="19" t="s">
        <v>3247</v>
      </c>
    </row>
    <row r="356" spans="1:18">
      <c r="B356" s="19" t="s">
        <v>16</v>
      </c>
    </row>
    <row r="357" spans="1:18">
      <c r="B357" s="19" t="s">
        <v>3248</v>
      </c>
      <c r="F357" s="19" t="s">
        <v>3249</v>
      </c>
      <c r="I357" s="19" t="s">
        <v>3250</v>
      </c>
      <c r="K357" s="19" t="s">
        <v>3251</v>
      </c>
      <c r="M357" s="19" t="s">
        <v>3252</v>
      </c>
      <c r="P357" s="19" t="s">
        <v>3253</v>
      </c>
      <c r="Q357" s="19" t="s">
        <v>3254</v>
      </c>
      <c r="R357" s="19" t="s">
        <v>3255</v>
      </c>
    </row>
    <row r="358" spans="1:18">
      <c r="B358" s="19" t="s">
        <v>3166</v>
      </c>
    </row>
    <row r="359" spans="1:18">
      <c r="B359" s="19" t="s">
        <v>3256</v>
      </c>
      <c r="C359" s="19" t="s">
        <v>543</v>
      </c>
      <c r="F359" s="19" t="s">
        <v>3257</v>
      </c>
    </row>
    <row r="360" spans="1:18">
      <c r="B360" s="19" t="s">
        <v>3258</v>
      </c>
      <c r="C360" s="19" t="s">
        <v>49</v>
      </c>
      <c r="D360" s="19" t="s">
        <v>3259</v>
      </c>
      <c r="E360" s="19" t="s">
        <v>3260</v>
      </c>
      <c r="F360" s="19" t="s">
        <v>3261</v>
      </c>
      <c r="I360" s="19" t="s">
        <v>3262</v>
      </c>
      <c r="K360" s="19" t="s">
        <v>3263</v>
      </c>
      <c r="M360" s="19" t="s">
        <v>3264</v>
      </c>
      <c r="P360" s="19" t="s">
        <v>3265</v>
      </c>
      <c r="Q360" s="19" t="s">
        <v>3266</v>
      </c>
      <c r="R360" s="19" t="s">
        <v>3267</v>
      </c>
    </row>
    <row r="361" spans="1:18">
      <c r="A361" s="19" t="s">
        <v>26</v>
      </c>
      <c r="B361" s="19" t="s">
        <v>3268</v>
      </c>
      <c r="C361" s="19" t="s">
        <v>49</v>
      </c>
      <c r="D361" s="19" t="s">
        <v>3269</v>
      </c>
      <c r="E361" s="19" t="s">
        <v>3270</v>
      </c>
      <c r="F361" s="19" t="s">
        <v>3271</v>
      </c>
      <c r="I361" s="19" t="s">
        <v>3272</v>
      </c>
      <c r="K361" s="19" t="s">
        <v>3273</v>
      </c>
      <c r="M361" s="19" t="s">
        <v>3274</v>
      </c>
      <c r="P361" s="19" t="s">
        <v>3275</v>
      </c>
      <c r="Q361" s="19" t="s">
        <v>3276</v>
      </c>
      <c r="R361" s="19" t="s">
        <v>3277</v>
      </c>
    </row>
    <row r="362" spans="1:18">
      <c r="A362" s="19" t="s">
        <v>26</v>
      </c>
      <c r="B362" s="19" t="s">
        <v>3278</v>
      </c>
      <c r="C362" s="19" t="s">
        <v>49</v>
      </c>
      <c r="D362" s="19" t="s">
        <v>3279</v>
      </c>
      <c r="E362" s="19" t="s">
        <v>3280</v>
      </c>
      <c r="F362" s="19" t="s">
        <v>3281</v>
      </c>
      <c r="I362" s="19" t="s">
        <v>3282</v>
      </c>
      <c r="K362" s="19" t="s">
        <v>3283</v>
      </c>
      <c r="M362" s="19" t="s">
        <v>3284</v>
      </c>
      <c r="P362" s="19" t="s">
        <v>3285</v>
      </c>
      <c r="Q362" s="19" t="s">
        <v>3286</v>
      </c>
      <c r="R362" s="19" t="s">
        <v>3287</v>
      </c>
    </row>
    <row r="363" spans="1:18">
      <c r="A363" s="19" t="s">
        <v>26</v>
      </c>
      <c r="B363" s="19" t="s">
        <v>3288</v>
      </c>
      <c r="C363" s="19" t="s">
        <v>49</v>
      </c>
      <c r="D363" s="19" t="s">
        <v>3289</v>
      </c>
      <c r="E363" s="19" t="s">
        <v>3290</v>
      </c>
      <c r="F363" s="19" t="s">
        <v>3291</v>
      </c>
      <c r="I363" s="19" t="s">
        <v>3292</v>
      </c>
      <c r="K363" s="19" t="s">
        <v>3293</v>
      </c>
      <c r="M363" s="19" t="s">
        <v>3294</v>
      </c>
      <c r="P363" s="19" t="s">
        <v>3295</v>
      </c>
      <c r="Q363" s="19" t="s">
        <v>3296</v>
      </c>
      <c r="R363" s="19" t="s">
        <v>3297</v>
      </c>
    </row>
    <row r="364" spans="1:18">
      <c r="A364" s="19" t="s">
        <v>26</v>
      </c>
      <c r="B364" s="19" t="s">
        <v>3298</v>
      </c>
      <c r="C364" s="19" t="s">
        <v>49</v>
      </c>
      <c r="D364" s="19" t="s">
        <v>3299</v>
      </c>
      <c r="E364" s="19" t="s">
        <v>3300</v>
      </c>
      <c r="F364" s="19" t="s">
        <v>3301</v>
      </c>
      <c r="I364" s="19" t="s">
        <v>3302</v>
      </c>
      <c r="K364" s="19" t="s">
        <v>3303</v>
      </c>
      <c r="M364" s="19" t="s">
        <v>3304</v>
      </c>
      <c r="P364" s="19" t="s">
        <v>3305</v>
      </c>
      <c r="Q364" s="19" t="s">
        <v>3306</v>
      </c>
      <c r="R364" s="19" t="s">
        <v>3307</v>
      </c>
    </row>
    <row r="365" spans="1:18">
      <c r="A365" s="19" t="s">
        <v>26</v>
      </c>
      <c r="B365" s="19" t="s">
        <v>3308</v>
      </c>
      <c r="C365" s="19" t="s">
        <v>49</v>
      </c>
      <c r="D365" s="19" t="s">
        <v>3309</v>
      </c>
      <c r="E365" s="19" t="s">
        <v>3310</v>
      </c>
      <c r="F365" s="19" t="s">
        <v>3311</v>
      </c>
      <c r="I365" s="19" t="s">
        <v>3312</v>
      </c>
      <c r="K365" s="19" t="s">
        <v>3313</v>
      </c>
      <c r="M365" s="19" t="s">
        <v>3314</v>
      </c>
      <c r="P365" s="19" t="s">
        <v>3315</v>
      </c>
      <c r="Q365" s="19" t="s">
        <v>3316</v>
      </c>
      <c r="R365" s="19" t="s">
        <v>3317</v>
      </c>
    </row>
    <row r="366" spans="1:18">
      <c r="A366" s="19" t="s">
        <v>26</v>
      </c>
      <c r="B366" s="19" t="s">
        <v>3318</v>
      </c>
      <c r="C366" s="19" t="s">
        <v>49</v>
      </c>
      <c r="D366" s="19" t="s">
        <v>3319</v>
      </c>
      <c r="E366" s="19" t="s">
        <v>3320</v>
      </c>
      <c r="F366" s="19" t="s">
        <v>3321</v>
      </c>
      <c r="I366" s="19" t="s">
        <v>3322</v>
      </c>
      <c r="K366" s="19" t="s">
        <v>3323</v>
      </c>
      <c r="M366" s="19" t="s">
        <v>3324</v>
      </c>
      <c r="P366" s="19" t="s">
        <v>3325</v>
      </c>
      <c r="Q366" s="19" t="s">
        <v>3326</v>
      </c>
      <c r="R366" s="19" t="s">
        <v>3327</v>
      </c>
    </row>
    <row r="367" spans="1:18">
      <c r="A367" s="19" t="s">
        <v>26</v>
      </c>
      <c r="B367" s="19" t="s">
        <v>3328</v>
      </c>
      <c r="C367" s="19" t="s">
        <v>49</v>
      </c>
      <c r="D367" s="19" t="s">
        <v>3329</v>
      </c>
      <c r="E367" s="19" t="s">
        <v>3330</v>
      </c>
      <c r="F367" s="19" t="s">
        <v>3331</v>
      </c>
      <c r="I367" s="19" t="s">
        <v>3332</v>
      </c>
      <c r="K367" s="19" t="s">
        <v>3333</v>
      </c>
      <c r="M367" s="19" t="s">
        <v>3334</v>
      </c>
      <c r="P367" s="19" t="s">
        <v>3335</v>
      </c>
      <c r="Q367" s="19" t="s">
        <v>3336</v>
      </c>
      <c r="R367" s="19" t="s">
        <v>3337</v>
      </c>
    </row>
    <row r="368" spans="1:18">
      <c r="A368" s="19" t="s">
        <v>26</v>
      </c>
      <c r="B368" s="19" t="s">
        <v>3338</v>
      </c>
      <c r="C368" s="19" t="s">
        <v>49</v>
      </c>
      <c r="D368" s="19" t="s">
        <v>3339</v>
      </c>
      <c r="E368" s="19" t="s">
        <v>3340</v>
      </c>
      <c r="F368" s="19" t="s">
        <v>3341</v>
      </c>
      <c r="I368" s="19" t="s">
        <v>3342</v>
      </c>
      <c r="K368" s="19" t="s">
        <v>3343</v>
      </c>
      <c r="M368" s="19" t="s">
        <v>3344</v>
      </c>
      <c r="P368" s="19" t="s">
        <v>3345</v>
      </c>
      <c r="Q368" s="19" t="s">
        <v>3346</v>
      </c>
      <c r="R368" s="19" t="s">
        <v>3347</v>
      </c>
    </row>
    <row r="369" spans="1:18">
      <c r="A369" s="19" t="s">
        <v>26</v>
      </c>
      <c r="B369" s="19" t="s">
        <v>3348</v>
      </c>
      <c r="C369" s="19" t="s">
        <v>49</v>
      </c>
      <c r="D369" s="19" t="s">
        <v>3349</v>
      </c>
      <c r="E369" s="19" t="s">
        <v>3350</v>
      </c>
      <c r="F369" s="19" t="s">
        <v>3351</v>
      </c>
      <c r="I369" s="19" t="s">
        <v>3352</v>
      </c>
      <c r="K369" s="19" t="s">
        <v>3353</v>
      </c>
      <c r="M369" s="19" t="s">
        <v>3354</v>
      </c>
      <c r="P369" s="19" t="s">
        <v>3355</v>
      </c>
      <c r="Q369" s="19" t="s">
        <v>3356</v>
      </c>
      <c r="R369" s="19" t="s">
        <v>3357</v>
      </c>
    </row>
    <row r="370" spans="1:18">
      <c r="A370" s="19" t="s">
        <v>26</v>
      </c>
      <c r="B370" s="19" t="s">
        <v>3358</v>
      </c>
      <c r="C370" s="19" t="s">
        <v>49</v>
      </c>
      <c r="D370" s="19" t="s">
        <v>3359</v>
      </c>
      <c r="E370" s="19" t="s">
        <v>3360</v>
      </c>
      <c r="F370" s="19" t="s">
        <v>3361</v>
      </c>
      <c r="I370" s="19" t="s">
        <v>3362</v>
      </c>
      <c r="K370" s="19" t="s">
        <v>3363</v>
      </c>
      <c r="M370" s="19" t="s">
        <v>3364</v>
      </c>
      <c r="P370" s="19" t="s">
        <v>3365</v>
      </c>
      <c r="Q370" s="19" t="s">
        <v>3366</v>
      </c>
      <c r="R370" s="19" t="s">
        <v>3367</v>
      </c>
    </row>
    <row r="371" spans="1:18">
      <c r="A371" s="19" t="s">
        <v>26</v>
      </c>
      <c r="B371" s="19" t="s">
        <v>3368</v>
      </c>
      <c r="C371" s="19" t="s">
        <v>49</v>
      </c>
      <c r="D371" s="19" t="s">
        <v>3369</v>
      </c>
      <c r="E371" s="19" t="s">
        <v>3370</v>
      </c>
      <c r="F371" s="19" t="s">
        <v>3371</v>
      </c>
      <c r="I371" s="19" t="s">
        <v>3372</v>
      </c>
      <c r="K371" s="19" t="s">
        <v>3373</v>
      </c>
      <c r="M371" s="19" t="s">
        <v>3374</v>
      </c>
      <c r="P371" s="19" t="s">
        <v>3375</v>
      </c>
      <c r="Q371" s="19" t="s">
        <v>3376</v>
      </c>
      <c r="R371" s="19" t="s">
        <v>3377</v>
      </c>
    </row>
    <row r="372" spans="1:18">
      <c r="A372" s="19" t="s">
        <v>26</v>
      </c>
      <c r="B372" s="19" t="s">
        <v>3378</v>
      </c>
      <c r="C372" s="19" t="s">
        <v>49</v>
      </c>
      <c r="D372" s="19" t="s">
        <v>3379</v>
      </c>
      <c r="E372" s="19" t="s">
        <v>3380</v>
      </c>
      <c r="F372" s="19" t="s">
        <v>3381</v>
      </c>
      <c r="I372" s="19" t="s">
        <v>3382</v>
      </c>
      <c r="K372" s="19" t="s">
        <v>3383</v>
      </c>
      <c r="M372" s="19" t="s">
        <v>3384</v>
      </c>
      <c r="P372" s="19" t="s">
        <v>3385</v>
      </c>
      <c r="Q372" s="19" t="s">
        <v>3386</v>
      </c>
      <c r="R372" s="19" t="s">
        <v>3387</v>
      </c>
    </row>
    <row r="373" spans="1:18">
      <c r="A373" s="19" t="s">
        <v>26</v>
      </c>
      <c r="B373" s="19" t="s">
        <v>3388</v>
      </c>
      <c r="C373" s="19" t="s">
        <v>49</v>
      </c>
      <c r="D373" s="19" t="s">
        <v>3389</v>
      </c>
      <c r="E373" s="19" t="s">
        <v>3390</v>
      </c>
      <c r="F373" s="19" t="s">
        <v>3391</v>
      </c>
      <c r="I373" s="19" t="s">
        <v>3392</v>
      </c>
      <c r="K373" s="19" t="s">
        <v>3393</v>
      </c>
      <c r="M373" s="19" t="s">
        <v>3394</v>
      </c>
      <c r="P373" s="19" t="s">
        <v>3395</v>
      </c>
      <c r="Q373" s="19" t="s">
        <v>3396</v>
      </c>
      <c r="R373" s="19" t="s">
        <v>3397</v>
      </c>
    </row>
    <row r="374" spans="1:18">
      <c r="A374" s="19" t="s">
        <v>26</v>
      </c>
      <c r="B374" s="19" t="s">
        <v>3398</v>
      </c>
      <c r="C374" s="19" t="s">
        <v>49</v>
      </c>
      <c r="D374" s="19" t="s">
        <v>3399</v>
      </c>
      <c r="E374" s="19" t="s">
        <v>3400</v>
      </c>
      <c r="F374" s="19" t="s">
        <v>3401</v>
      </c>
      <c r="I374" s="19" t="s">
        <v>3402</v>
      </c>
      <c r="K374" s="19" t="s">
        <v>3403</v>
      </c>
      <c r="M374" s="19" t="s">
        <v>3404</v>
      </c>
      <c r="P374" s="19" t="s">
        <v>3405</v>
      </c>
      <c r="Q374" s="19" t="s">
        <v>3406</v>
      </c>
      <c r="R374" s="19" t="s">
        <v>3407</v>
      </c>
    </row>
    <row r="375" spans="1:18">
      <c r="A375" s="19" t="s">
        <v>26</v>
      </c>
      <c r="B375" s="19" t="s">
        <v>3408</v>
      </c>
      <c r="C375" s="19" t="s">
        <v>49</v>
      </c>
      <c r="D375" s="19" t="s">
        <v>3409</v>
      </c>
      <c r="E375" s="19" t="s">
        <v>3410</v>
      </c>
      <c r="F375" s="19" t="s">
        <v>3411</v>
      </c>
      <c r="I375" s="19" t="s">
        <v>3412</v>
      </c>
      <c r="K375" s="19" t="s">
        <v>3413</v>
      </c>
      <c r="M375" s="19" t="s">
        <v>3414</v>
      </c>
      <c r="P375" s="19" t="s">
        <v>3415</v>
      </c>
      <c r="Q375" s="19" t="s">
        <v>3416</v>
      </c>
      <c r="R375" s="19" t="s">
        <v>3417</v>
      </c>
    </row>
    <row r="376" spans="1:18">
      <c r="A376" s="19" t="s">
        <v>26</v>
      </c>
      <c r="B376" s="19" t="s">
        <v>3418</v>
      </c>
      <c r="C376" s="19" t="s">
        <v>49</v>
      </c>
      <c r="D376" s="19" t="s">
        <v>3419</v>
      </c>
      <c r="E376" s="19" t="s">
        <v>3420</v>
      </c>
      <c r="F376" s="19" t="s">
        <v>3421</v>
      </c>
      <c r="I376" s="19" t="s">
        <v>3422</v>
      </c>
      <c r="K376" s="19" t="s">
        <v>3423</v>
      </c>
      <c r="M376" s="19" t="s">
        <v>3424</v>
      </c>
      <c r="P376" s="19" t="s">
        <v>3425</v>
      </c>
      <c r="Q376" s="19" t="s">
        <v>3426</v>
      </c>
      <c r="R376" s="19" t="s">
        <v>3427</v>
      </c>
    </row>
    <row r="377" spans="1:18">
      <c r="A377" s="19" t="s">
        <v>26</v>
      </c>
      <c r="B377" s="19" t="s">
        <v>3428</v>
      </c>
      <c r="C377" s="19" t="s">
        <v>49</v>
      </c>
      <c r="D377" s="19" t="s">
        <v>3429</v>
      </c>
      <c r="E377" s="19" t="s">
        <v>3430</v>
      </c>
      <c r="F377" s="19" t="s">
        <v>3431</v>
      </c>
      <c r="I377" s="19" t="s">
        <v>3432</v>
      </c>
      <c r="K377" s="19" t="s">
        <v>3433</v>
      </c>
      <c r="M377" s="19" t="s">
        <v>3434</v>
      </c>
      <c r="P377" s="19" t="s">
        <v>3435</v>
      </c>
      <c r="Q377" s="19" t="s">
        <v>3436</v>
      </c>
      <c r="R377" s="19" t="s">
        <v>3437</v>
      </c>
    </row>
    <row r="378" spans="1:18">
      <c r="A378" s="19" t="s">
        <v>26</v>
      </c>
      <c r="B378" s="19" t="s">
        <v>3438</v>
      </c>
      <c r="C378" s="19" t="s">
        <v>49</v>
      </c>
      <c r="D378" s="19" t="s">
        <v>3439</v>
      </c>
      <c r="E378" s="19" t="s">
        <v>3440</v>
      </c>
      <c r="F378" s="19" t="s">
        <v>3441</v>
      </c>
      <c r="I378" s="19" t="s">
        <v>3442</v>
      </c>
      <c r="K378" s="19" t="s">
        <v>3443</v>
      </c>
      <c r="M378" s="19" t="s">
        <v>3444</v>
      </c>
      <c r="P378" s="19" t="s">
        <v>3445</v>
      </c>
      <c r="Q378" s="19" t="s">
        <v>3446</v>
      </c>
      <c r="R378" s="19" t="s">
        <v>3447</v>
      </c>
    </row>
    <row r="379" spans="1:18">
      <c r="A379" s="19" t="s">
        <v>26</v>
      </c>
      <c r="B379" s="19" t="s">
        <v>3448</v>
      </c>
      <c r="C379" s="19" t="s">
        <v>49</v>
      </c>
      <c r="D379" s="19" t="s">
        <v>3449</v>
      </c>
      <c r="E379" s="19" t="s">
        <v>3450</v>
      </c>
      <c r="F379" s="19" t="s">
        <v>3451</v>
      </c>
      <c r="I379" s="19" t="s">
        <v>3452</v>
      </c>
      <c r="K379" s="19" t="s">
        <v>3453</v>
      </c>
      <c r="M379" s="19" t="s">
        <v>3454</v>
      </c>
      <c r="P379" s="19" t="s">
        <v>3455</v>
      </c>
      <c r="Q379" s="19" t="s">
        <v>3456</v>
      </c>
      <c r="R379" s="19" t="s">
        <v>3457</v>
      </c>
    </row>
    <row r="380" spans="1:18">
      <c r="A380" s="19" t="s">
        <v>26</v>
      </c>
      <c r="B380" s="19" t="s">
        <v>3458</v>
      </c>
      <c r="C380" s="19" t="s">
        <v>49</v>
      </c>
      <c r="D380" s="19" t="s">
        <v>3459</v>
      </c>
      <c r="E380" s="19" t="s">
        <v>3460</v>
      </c>
      <c r="F380" s="19" t="s">
        <v>3461</v>
      </c>
      <c r="I380" s="19" t="s">
        <v>3462</v>
      </c>
      <c r="K380" s="19" t="s">
        <v>3463</v>
      </c>
      <c r="M380" s="19" t="s">
        <v>3464</v>
      </c>
      <c r="P380" s="19" t="s">
        <v>3465</v>
      </c>
      <c r="Q380" s="19" t="s">
        <v>3466</v>
      </c>
      <c r="R380" s="19" t="s">
        <v>3467</v>
      </c>
    </row>
    <row r="381" spans="1:18">
      <c r="A381" s="19" t="s">
        <v>26</v>
      </c>
      <c r="B381" s="19" t="s">
        <v>3468</v>
      </c>
      <c r="C381" s="19" t="s">
        <v>49</v>
      </c>
      <c r="D381" s="19" t="s">
        <v>3469</v>
      </c>
      <c r="E381" s="19" t="s">
        <v>3470</v>
      </c>
      <c r="F381" s="19" t="s">
        <v>3471</v>
      </c>
      <c r="I381" s="19" t="s">
        <v>3472</v>
      </c>
      <c r="K381" s="19" t="s">
        <v>3473</v>
      </c>
      <c r="M381" s="19" t="s">
        <v>3474</v>
      </c>
      <c r="P381" s="19" t="s">
        <v>3475</v>
      </c>
      <c r="Q381" s="19" t="s">
        <v>3476</v>
      </c>
      <c r="R381" s="19" t="s">
        <v>3477</v>
      </c>
    </row>
    <row r="382" spans="1:18">
      <c r="A382" s="19" t="s">
        <v>26</v>
      </c>
      <c r="B382" s="19" t="s">
        <v>3478</v>
      </c>
      <c r="C382" s="19" t="s">
        <v>49</v>
      </c>
      <c r="D382" s="19" t="s">
        <v>3479</v>
      </c>
      <c r="E382" s="19" t="s">
        <v>3480</v>
      </c>
      <c r="F382" s="19" t="s">
        <v>3481</v>
      </c>
      <c r="I382" s="19" t="s">
        <v>3482</v>
      </c>
      <c r="K382" s="19" t="s">
        <v>3483</v>
      </c>
      <c r="M382" s="19" t="s">
        <v>3484</v>
      </c>
      <c r="P382" s="19" t="s">
        <v>3485</v>
      </c>
      <c r="Q382" s="19" t="s">
        <v>3486</v>
      </c>
      <c r="R382" s="19" t="s">
        <v>3487</v>
      </c>
    </row>
    <row r="383" spans="1:18">
      <c r="A383" s="19" t="s">
        <v>26</v>
      </c>
      <c r="B383" s="19" t="s">
        <v>3488</v>
      </c>
      <c r="C383" s="19" t="s">
        <v>49</v>
      </c>
      <c r="D383" s="19" t="s">
        <v>3489</v>
      </c>
      <c r="E383" s="19" t="s">
        <v>3490</v>
      </c>
      <c r="F383" s="19" t="s">
        <v>3491</v>
      </c>
      <c r="I383" s="19" t="s">
        <v>3492</v>
      </c>
      <c r="K383" s="19" t="s">
        <v>3493</v>
      </c>
      <c r="M383" s="19" t="s">
        <v>3494</v>
      </c>
      <c r="P383" s="19" t="s">
        <v>3495</v>
      </c>
      <c r="Q383" s="19" t="s">
        <v>3496</v>
      </c>
      <c r="R383" s="19" t="s">
        <v>3497</v>
      </c>
    </row>
    <row r="384" spans="1:18">
      <c r="A384" s="19" t="s">
        <v>26</v>
      </c>
      <c r="B384" s="19" t="s">
        <v>3498</v>
      </c>
      <c r="C384" s="19" t="s">
        <v>49</v>
      </c>
      <c r="D384" s="19" t="s">
        <v>3499</v>
      </c>
      <c r="E384" s="19" t="s">
        <v>3500</v>
      </c>
      <c r="F384" s="19" t="s">
        <v>3501</v>
      </c>
      <c r="I384" s="19" t="s">
        <v>3502</v>
      </c>
      <c r="K384" s="19" t="s">
        <v>3503</v>
      </c>
      <c r="M384" s="19" t="s">
        <v>3504</v>
      </c>
      <c r="P384" s="19" t="s">
        <v>3505</v>
      </c>
      <c r="Q384" s="19" t="s">
        <v>3506</v>
      </c>
      <c r="R384" s="19" t="s">
        <v>3507</v>
      </c>
    </row>
    <row r="385" spans="1:18">
      <c r="A385" s="19" t="s">
        <v>26</v>
      </c>
      <c r="B385" s="19" t="s">
        <v>3508</v>
      </c>
      <c r="C385" s="19" t="s">
        <v>49</v>
      </c>
      <c r="D385" s="19" t="s">
        <v>3509</v>
      </c>
      <c r="E385" s="19" t="s">
        <v>3510</v>
      </c>
      <c r="F385" s="19" t="s">
        <v>3511</v>
      </c>
      <c r="I385" s="19" t="s">
        <v>3512</v>
      </c>
      <c r="K385" s="19" t="s">
        <v>3513</v>
      </c>
      <c r="M385" s="19" t="s">
        <v>3514</v>
      </c>
      <c r="P385" s="19" t="s">
        <v>3515</v>
      </c>
      <c r="Q385" s="19" t="s">
        <v>3516</v>
      </c>
      <c r="R385" s="19" t="s">
        <v>3517</v>
      </c>
    </row>
    <row r="386" spans="1:18">
      <c r="A386" s="19" t="s">
        <v>26</v>
      </c>
      <c r="B386" s="19" t="s">
        <v>3518</v>
      </c>
      <c r="C386" s="19" t="s">
        <v>49</v>
      </c>
      <c r="D386" s="19" t="s">
        <v>3519</v>
      </c>
      <c r="E386" s="19" t="s">
        <v>3520</v>
      </c>
      <c r="F386" s="19" t="s">
        <v>3521</v>
      </c>
      <c r="I386" s="19" t="s">
        <v>3522</v>
      </c>
      <c r="K386" s="19" t="s">
        <v>3523</v>
      </c>
      <c r="M386" s="19" t="s">
        <v>3524</v>
      </c>
      <c r="P386" s="19" t="s">
        <v>3525</v>
      </c>
      <c r="Q386" s="19" t="s">
        <v>3526</v>
      </c>
      <c r="R386" s="19" t="s">
        <v>3527</v>
      </c>
    </row>
    <row r="387" spans="1:18">
      <c r="A387" s="19" t="s">
        <v>26</v>
      </c>
      <c r="B387" s="19" t="s">
        <v>3528</v>
      </c>
      <c r="C387" s="19" t="s">
        <v>49</v>
      </c>
      <c r="D387" s="19" t="s">
        <v>3529</v>
      </c>
      <c r="E387" s="19" t="s">
        <v>3530</v>
      </c>
      <c r="F387" s="19" t="s">
        <v>3531</v>
      </c>
      <c r="I387" s="19" t="s">
        <v>3532</v>
      </c>
      <c r="K387" s="19" t="s">
        <v>3533</v>
      </c>
      <c r="M387" s="19" t="s">
        <v>3534</v>
      </c>
      <c r="P387" s="19" t="s">
        <v>3535</v>
      </c>
      <c r="Q387" s="19" t="s">
        <v>3536</v>
      </c>
      <c r="R387" s="19" t="s">
        <v>3537</v>
      </c>
    </row>
    <row r="388" spans="1:18">
      <c r="B388" s="19" t="s">
        <v>16</v>
      </c>
    </row>
    <row r="389" spans="1:18">
      <c r="B389" s="19" t="s">
        <v>3538</v>
      </c>
      <c r="F389" s="19" t="s">
        <v>3539</v>
      </c>
      <c r="I389" s="19" t="s">
        <v>3540</v>
      </c>
      <c r="K389" s="19" t="s">
        <v>3541</v>
      </c>
      <c r="M389" s="19" t="s">
        <v>3542</v>
      </c>
      <c r="P389" s="19" t="s">
        <v>3543</v>
      </c>
      <c r="Q389" s="19" t="s">
        <v>3544</v>
      </c>
      <c r="R389" s="19" t="s">
        <v>3545</v>
      </c>
    </row>
    <row r="390" spans="1:18">
      <c r="B390" s="19" t="s">
        <v>3256</v>
      </c>
    </row>
    <row r="391" spans="1:18">
      <c r="B391" s="19" t="s">
        <v>3546</v>
      </c>
      <c r="C391" s="19" t="s">
        <v>564</v>
      </c>
      <c r="F391" s="19" t="s">
        <v>3547</v>
      </c>
    </row>
    <row r="392" spans="1:18">
      <c r="B392" s="19" t="s">
        <v>3548</v>
      </c>
      <c r="C392" s="19" t="s">
        <v>50</v>
      </c>
      <c r="D392" s="19" t="s">
        <v>3549</v>
      </c>
      <c r="E392" s="19" t="s">
        <v>3550</v>
      </c>
      <c r="F392" s="19" t="s">
        <v>3551</v>
      </c>
      <c r="I392" s="19" t="s">
        <v>3552</v>
      </c>
      <c r="K392" s="19" t="s">
        <v>3553</v>
      </c>
      <c r="M392" s="19" t="s">
        <v>3554</v>
      </c>
      <c r="P392" s="19" t="s">
        <v>3555</v>
      </c>
      <c r="Q392" s="19" t="s">
        <v>3556</v>
      </c>
      <c r="R392" s="19" t="s">
        <v>3557</v>
      </c>
    </row>
    <row r="393" spans="1:18">
      <c r="A393" s="19" t="s">
        <v>26</v>
      </c>
      <c r="B393" s="19" t="s">
        <v>3558</v>
      </c>
      <c r="C393" s="19" t="s">
        <v>50</v>
      </c>
      <c r="D393" s="19" t="s">
        <v>3559</v>
      </c>
      <c r="E393" s="19" t="s">
        <v>3560</v>
      </c>
      <c r="F393" s="19" t="s">
        <v>3561</v>
      </c>
      <c r="I393" s="19" t="s">
        <v>3562</v>
      </c>
      <c r="K393" s="19" t="s">
        <v>3563</v>
      </c>
      <c r="M393" s="19" t="s">
        <v>3564</v>
      </c>
      <c r="P393" s="19" t="s">
        <v>3565</v>
      </c>
      <c r="Q393" s="19" t="s">
        <v>3566</v>
      </c>
      <c r="R393" s="19" t="s">
        <v>3567</v>
      </c>
    </row>
    <row r="394" spans="1:18">
      <c r="A394" s="19" t="s">
        <v>26</v>
      </c>
      <c r="B394" s="19" t="s">
        <v>3568</v>
      </c>
      <c r="C394" s="19" t="s">
        <v>50</v>
      </c>
      <c r="D394" s="19" t="s">
        <v>3569</v>
      </c>
      <c r="E394" s="19" t="s">
        <v>3570</v>
      </c>
      <c r="F394" s="19" t="s">
        <v>3571</v>
      </c>
      <c r="I394" s="19" t="s">
        <v>3572</v>
      </c>
      <c r="K394" s="19" t="s">
        <v>3573</v>
      </c>
      <c r="M394" s="19" t="s">
        <v>3574</v>
      </c>
      <c r="P394" s="19" t="s">
        <v>3575</v>
      </c>
      <c r="Q394" s="19" t="s">
        <v>3576</v>
      </c>
      <c r="R394" s="19" t="s">
        <v>3577</v>
      </c>
    </row>
    <row r="395" spans="1:18">
      <c r="A395" s="19" t="s">
        <v>26</v>
      </c>
      <c r="B395" s="19" t="s">
        <v>3578</v>
      </c>
      <c r="C395" s="19" t="s">
        <v>50</v>
      </c>
      <c r="D395" s="19" t="s">
        <v>3579</v>
      </c>
      <c r="E395" s="19" t="s">
        <v>3580</v>
      </c>
      <c r="F395" s="19" t="s">
        <v>3581</v>
      </c>
      <c r="I395" s="19" t="s">
        <v>3582</v>
      </c>
      <c r="K395" s="19" t="s">
        <v>3583</v>
      </c>
      <c r="M395" s="19" t="s">
        <v>3584</v>
      </c>
      <c r="P395" s="19" t="s">
        <v>3585</v>
      </c>
      <c r="Q395" s="19" t="s">
        <v>3586</v>
      </c>
      <c r="R395" s="19" t="s">
        <v>3587</v>
      </c>
    </row>
    <row r="396" spans="1:18">
      <c r="A396" s="19" t="s">
        <v>26</v>
      </c>
      <c r="B396" s="19" t="s">
        <v>3588</v>
      </c>
      <c r="C396" s="19" t="s">
        <v>50</v>
      </c>
      <c r="D396" s="19" t="s">
        <v>3589</v>
      </c>
      <c r="E396" s="19" t="s">
        <v>3590</v>
      </c>
      <c r="F396" s="19" t="s">
        <v>3591</v>
      </c>
      <c r="I396" s="19" t="s">
        <v>3592</v>
      </c>
      <c r="K396" s="19" t="s">
        <v>3593</v>
      </c>
      <c r="M396" s="19" t="s">
        <v>3594</v>
      </c>
      <c r="P396" s="19" t="s">
        <v>3595</v>
      </c>
      <c r="Q396" s="19" t="s">
        <v>3596</v>
      </c>
      <c r="R396" s="19" t="s">
        <v>3597</v>
      </c>
    </row>
    <row r="397" spans="1:18">
      <c r="A397" s="19" t="s">
        <v>26</v>
      </c>
      <c r="B397" s="19" t="s">
        <v>3598</v>
      </c>
      <c r="C397" s="19" t="s">
        <v>50</v>
      </c>
      <c r="D397" s="19" t="s">
        <v>3599</v>
      </c>
      <c r="E397" s="19" t="s">
        <v>3600</v>
      </c>
      <c r="F397" s="19" t="s">
        <v>3601</v>
      </c>
      <c r="I397" s="19" t="s">
        <v>3602</v>
      </c>
      <c r="K397" s="19" t="s">
        <v>3603</v>
      </c>
      <c r="M397" s="19" t="s">
        <v>3604</v>
      </c>
      <c r="P397" s="19" t="s">
        <v>3605</v>
      </c>
      <c r="Q397" s="19" t="s">
        <v>3606</v>
      </c>
      <c r="R397" s="19" t="s">
        <v>3607</v>
      </c>
    </row>
    <row r="398" spans="1:18">
      <c r="A398" s="19" t="s">
        <v>26</v>
      </c>
      <c r="B398" s="19" t="s">
        <v>3608</v>
      </c>
      <c r="C398" s="19" t="s">
        <v>50</v>
      </c>
      <c r="D398" s="19" t="s">
        <v>3609</v>
      </c>
      <c r="E398" s="19" t="s">
        <v>3610</v>
      </c>
      <c r="F398" s="19" t="s">
        <v>3611</v>
      </c>
      <c r="I398" s="19" t="s">
        <v>3612</v>
      </c>
      <c r="K398" s="19" t="s">
        <v>3613</v>
      </c>
      <c r="M398" s="19" t="s">
        <v>3614</v>
      </c>
      <c r="P398" s="19" t="s">
        <v>3615</v>
      </c>
      <c r="Q398" s="19" t="s">
        <v>3616</v>
      </c>
      <c r="R398" s="19" t="s">
        <v>3617</v>
      </c>
    </row>
    <row r="399" spans="1:18">
      <c r="A399" s="19" t="s">
        <v>26</v>
      </c>
      <c r="B399" s="19" t="s">
        <v>3618</v>
      </c>
      <c r="C399" s="19" t="s">
        <v>50</v>
      </c>
      <c r="D399" s="19" t="s">
        <v>3619</v>
      </c>
      <c r="E399" s="19" t="s">
        <v>3620</v>
      </c>
      <c r="F399" s="19" t="s">
        <v>3621</v>
      </c>
      <c r="I399" s="19" t="s">
        <v>3622</v>
      </c>
      <c r="K399" s="19" t="s">
        <v>3623</v>
      </c>
      <c r="M399" s="19" t="s">
        <v>3624</v>
      </c>
      <c r="P399" s="19" t="s">
        <v>3625</v>
      </c>
      <c r="Q399" s="19" t="s">
        <v>3626</v>
      </c>
      <c r="R399" s="19" t="s">
        <v>3627</v>
      </c>
    </row>
    <row r="400" spans="1:18">
      <c r="A400" s="19" t="s">
        <v>26</v>
      </c>
      <c r="B400" s="19" t="s">
        <v>3628</v>
      </c>
      <c r="C400" s="19" t="s">
        <v>50</v>
      </c>
      <c r="D400" s="19" t="s">
        <v>3629</v>
      </c>
      <c r="E400" s="19" t="s">
        <v>3630</v>
      </c>
      <c r="F400" s="19" t="s">
        <v>3631</v>
      </c>
      <c r="I400" s="19" t="s">
        <v>3632</v>
      </c>
      <c r="K400" s="19" t="s">
        <v>3633</v>
      </c>
      <c r="M400" s="19" t="s">
        <v>3634</v>
      </c>
      <c r="P400" s="19" t="s">
        <v>3635</v>
      </c>
      <c r="Q400" s="19" t="s">
        <v>3636</v>
      </c>
      <c r="R400" s="19" t="s">
        <v>3637</v>
      </c>
    </row>
    <row r="401" spans="1:18">
      <c r="A401" s="19" t="s">
        <v>26</v>
      </c>
      <c r="B401" s="19" t="s">
        <v>3638</v>
      </c>
      <c r="C401" s="19" t="s">
        <v>50</v>
      </c>
      <c r="D401" s="19" t="s">
        <v>3639</v>
      </c>
      <c r="E401" s="19" t="s">
        <v>3640</v>
      </c>
      <c r="F401" s="19" t="s">
        <v>3641</v>
      </c>
      <c r="I401" s="19" t="s">
        <v>3642</v>
      </c>
      <c r="K401" s="19" t="s">
        <v>3643</v>
      </c>
      <c r="M401" s="19" t="s">
        <v>3644</v>
      </c>
      <c r="P401" s="19" t="s">
        <v>3645</v>
      </c>
      <c r="Q401" s="19" t="s">
        <v>3646</v>
      </c>
      <c r="R401" s="19" t="s">
        <v>3647</v>
      </c>
    </row>
    <row r="402" spans="1:18">
      <c r="A402" s="19" t="s">
        <v>26</v>
      </c>
      <c r="B402" s="19" t="s">
        <v>3648</v>
      </c>
      <c r="C402" s="19" t="s">
        <v>50</v>
      </c>
      <c r="D402" s="19" t="s">
        <v>3649</v>
      </c>
      <c r="E402" s="19" t="s">
        <v>3650</v>
      </c>
      <c r="F402" s="19" t="s">
        <v>3651</v>
      </c>
      <c r="I402" s="19" t="s">
        <v>3652</v>
      </c>
      <c r="K402" s="19" t="s">
        <v>3653</v>
      </c>
      <c r="M402" s="19" t="s">
        <v>3654</v>
      </c>
      <c r="P402" s="19" t="s">
        <v>3655</v>
      </c>
      <c r="Q402" s="19" t="s">
        <v>3656</v>
      </c>
      <c r="R402" s="19" t="s">
        <v>3657</v>
      </c>
    </row>
    <row r="403" spans="1:18">
      <c r="A403" s="19" t="s">
        <v>26</v>
      </c>
      <c r="B403" s="19" t="s">
        <v>3658</v>
      </c>
      <c r="C403" s="19" t="s">
        <v>50</v>
      </c>
      <c r="D403" s="19" t="s">
        <v>3659</v>
      </c>
      <c r="E403" s="19" t="s">
        <v>3660</v>
      </c>
      <c r="F403" s="19" t="s">
        <v>3661</v>
      </c>
      <c r="I403" s="19" t="s">
        <v>3662</v>
      </c>
      <c r="K403" s="19" t="s">
        <v>3663</v>
      </c>
      <c r="M403" s="19" t="s">
        <v>3664</v>
      </c>
      <c r="P403" s="19" t="s">
        <v>3665</v>
      </c>
      <c r="Q403" s="19" t="s">
        <v>3666</v>
      </c>
      <c r="R403" s="19" t="s">
        <v>3667</v>
      </c>
    </row>
    <row r="404" spans="1:18">
      <c r="A404" s="19" t="s">
        <v>26</v>
      </c>
      <c r="B404" s="19" t="s">
        <v>3668</v>
      </c>
      <c r="C404" s="19" t="s">
        <v>50</v>
      </c>
      <c r="D404" s="19" t="s">
        <v>3669</v>
      </c>
      <c r="E404" s="19" t="s">
        <v>3670</v>
      </c>
      <c r="F404" s="19" t="s">
        <v>3671</v>
      </c>
      <c r="I404" s="19" t="s">
        <v>3672</v>
      </c>
      <c r="K404" s="19" t="s">
        <v>3673</v>
      </c>
      <c r="M404" s="19" t="s">
        <v>3674</v>
      </c>
      <c r="P404" s="19" t="s">
        <v>3675</v>
      </c>
      <c r="Q404" s="19" t="s">
        <v>3676</v>
      </c>
      <c r="R404" s="19" t="s">
        <v>3677</v>
      </c>
    </row>
    <row r="405" spans="1:18">
      <c r="A405" s="19" t="s">
        <v>26</v>
      </c>
      <c r="B405" s="19" t="s">
        <v>3678</v>
      </c>
      <c r="C405" s="19" t="s">
        <v>50</v>
      </c>
      <c r="D405" s="19" t="s">
        <v>3679</v>
      </c>
      <c r="E405" s="19" t="s">
        <v>3680</v>
      </c>
      <c r="F405" s="19" t="s">
        <v>3681</v>
      </c>
      <c r="I405" s="19" t="s">
        <v>3682</v>
      </c>
      <c r="K405" s="19" t="s">
        <v>3683</v>
      </c>
      <c r="M405" s="19" t="s">
        <v>3684</v>
      </c>
      <c r="P405" s="19" t="s">
        <v>3685</v>
      </c>
      <c r="Q405" s="19" t="s">
        <v>3686</v>
      </c>
      <c r="R405" s="19" t="s">
        <v>3687</v>
      </c>
    </row>
    <row r="406" spans="1:18">
      <c r="A406" s="19" t="s">
        <v>26</v>
      </c>
      <c r="B406" s="19" t="s">
        <v>3688</v>
      </c>
      <c r="C406" s="19" t="s">
        <v>50</v>
      </c>
      <c r="D406" s="19" t="s">
        <v>3689</v>
      </c>
      <c r="E406" s="19" t="s">
        <v>3690</v>
      </c>
      <c r="F406" s="19" t="s">
        <v>3691</v>
      </c>
      <c r="I406" s="19" t="s">
        <v>3692</v>
      </c>
      <c r="K406" s="19" t="s">
        <v>3693</v>
      </c>
      <c r="M406" s="19" t="s">
        <v>3694</v>
      </c>
      <c r="P406" s="19" t="s">
        <v>3695</v>
      </c>
      <c r="Q406" s="19" t="s">
        <v>3696</v>
      </c>
      <c r="R406" s="19" t="s">
        <v>3697</v>
      </c>
    </row>
    <row r="407" spans="1:18">
      <c r="A407" s="19" t="s">
        <v>26</v>
      </c>
      <c r="B407" s="19" t="s">
        <v>3698</v>
      </c>
      <c r="C407" s="19" t="s">
        <v>50</v>
      </c>
      <c r="D407" s="19" t="s">
        <v>3699</v>
      </c>
      <c r="E407" s="19" t="s">
        <v>3700</v>
      </c>
      <c r="F407" s="19" t="s">
        <v>3701</v>
      </c>
      <c r="I407" s="19" t="s">
        <v>3702</v>
      </c>
      <c r="K407" s="19" t="s">
        <v>3703</v>
      </c>
      <c r="M407" s="19" t="s">
        <v>3704</v>
      </c>
      <c r="P407" s="19" t="s">
        <v>3705</v>
      </c>
      <c r="Q407" s="19" t="s">
        <v>3706</v>
      </c>
      <c r="R407" s="19" t="s">
        <v>3707</v>
      </c>
    </row>
    <row r="408" spans="1:18">
      <c r="A408" s="19" t="s">
        <v>26</v>
      </c>
      <c r="B408" s="19" t="s">
        <v>3708</v>
      </c>
      <c r="C408" s="19" t="s">
        <v>50</v>
      </c>
      <c r="D408" s="19" t="s">
        <v>3709</v>
      </c>
      <c r="E408" s="19" t="s">
        <v>3710</v>
      </c>
      <c r="F408" s="19" t="s">
        <v>3711</v>
      </c>
      <c r="I408" s="19" t="s">
        <v>3712</v>
      </c>
      <c r="K408" s="19" t="s">
        <v>3713</v>
      </c>
      <c r="M408" s="19" t="s">
        <v>3714</v>
      </c>
      <c r="P408" s="19" t="s">
        <v>3715</v>
      </c>
      <c r="Q408" s="19" t="s">
        <v>3716</v>
      </c>
      <c r="R408" s="19" t="s">
        <v>3717</v>
      </c>
    </row>
    <row r="409" spans="1:18">
      <c r="A409" s="19" t="s">
        <v>26</v>
      </c>
      <c r="B409" s="19" t="s">
        <v>3718</v>
      </c>
      <c r="C409" s="19" t="s">
        <v>50</v>
      </c>
      <c r="D409" s="19" t="s">
        <v>3719</v>
      </c>
      <c r="E409" s="19" t="s">
        <v>3720</v>
      </c>
      <c r="F409" s="19" t="s">
        <v>3721</v>
      </c>
      <c r="I409" s="19" t="s">
        <v>3722</v>
      </c>
      <c r="K409" s="19" t="s">
        <v>3723</v>
      </c>
      <c r="M409" s="19" t="s">
        <v>3724</v>
      </c>
      <c r="P409" s="19" t="s">
        <v>3725</v>
      </c>
      <c r="Q409" s="19" t="s">
        <v>3726</v>
      </c>
      <c r="R409" s="19" t="s">
        <v>3727</v>
      </c>
    </row>
    <row r="410" spans="1:18">
      <c r="A410" s="19" t="s">
        <v>26</v>
      </c>
      <c r="B410" s="19" t="s">
        <v>3728</v>
      </c>
      <c r="C410" s="19" t="s">
        <v>50</v>
      </c>
      <c r="D410" s="19" t="s">
        <v>3729</v>
      </c>
      <c r="E410" s="19" t="s">
        <v>3730</v>
      </c>
      <c r="F410" s="19" t="s">
        <v>3731</v>
      </c>
      <c r="I410" s="19" t="s">
        <v>3732</v>
      </c>
      <c r="K410" s="19" t="s">
        <v>3733</v>
      </c>
      <c r="M410" s="19" t="s">
        <v>3734</v>
      </c>
      <c r="P410" s="19" t="s">
        <v>3735</v>
      </c>
      <c r="Q410" s="19" t="s">
        <v>3736</v>
      </c>
      <c r="R410" s="19" t="s">
        <v>3737</v>
      </c>
    </row>
    <row r="411" spans="1:18">
      <c r="A411" s="19" t="s">
        <v>26</v>
      </c>
      <c r="B411" s="19" t="s">
        <v>3738</v>
      </c>
      <c r="C411" s="19" t="s">
        <v>50</v>
      </c>
      <c r="D411" s="19" t="s">
        <v>3739</v>
      </c>
      <c r="E411" s="19" t="s">
        <v>3740</v>
      </c>
      <c r="F411" s="19" t="s">
        <v>3741</v>
      </c>
      <c r="I411" s="19" t="s">
        <v>3742</v>
      </c>
      <c r="K411" s="19" t="s">
        <v>3743</v>
      </c>
      <c r="M411" s="19" t="s">
        <v>3744</v>
      </c>
      <c r="P411" s="19" t="s">
        <v>3745</v>
      </c>
      <c r="Q411" s="19" t="s">
        <v>3746</v>
      </c>
      <c r="R411" s="19" t="s">
        <v>3747</v>
      </c>
    </row>
    <row r="412" spans="1:18">
      <c r="A412" s="19" t="s">
        <v>26</v>
      </c>
      <c r="B412" s="19" t="s">
        <v>3748</v>
      </c>
      <c r="C412" s="19" t="s">
        <v>50</v>
      </c>
      <c r="D412" s="19" t="s">
        <v>3749</v>
      </c>
      <c r="E412" s="19" t="s">
        <v>3750</v>
      </c>
      <c r="F412" s="19" t="s">
        <v>3751</v>
      </c>
      <c r="I412" s="19" t="s">
        <v>3752</v>
      </c>
      <c r="K412" s="19" t="s">
        <v>3753</v>
      </c>
      <c r="M412" s="19" t="s">
        <v>3754</v>
      </c>
      <c r="P412" s="19" t="s">
        <v>3755</v>
      </c>
      <c r="Q412" s="19" t="s">
        <v>3756</v>
      </c>
      <c r="R412" s="19" t="s">
        <v>3757</v>
      </c>
    </row>
    <row r="413" spans="1:18">
      <c r="B413" s="19" t="s">
        <v>16</v>
      </c>
    </row>
    <row r="414" spans="1:18">
      <c r="B414" s="19" t="s">
        <v>3758</v>
      </c>
      <c r="F414" s="19" t="s">
        <v>3759</v>
      </c>
      <c r="I414" s="19" t="s">
        <v>3760</v>
      </c>
      <c r="K414" s="19" t="s">
        <v>3761</v>
      </c>
      <c r="M414" s="19" t="s">
        <v>3762</v>
      </c>
      <c r="P414" s="19" t="s">
        <v>3763</v>
      </c>
      <c r="Q414" s="19" t="s">
        <v>3764</v>
      </c>
      <c r="R414" s="19" t="s">
        <v>3765</v>
      </c>
    </row>
    <row r="415" spans="1:18">
      <c r="B415" s="19" t="s">
        <v>3546</v>
      </c>
    </row>
    <row r="416" spans="1:18">
      <c r="B416" s="19" t="s">
        <v>3766</v>
      </c>
      <c r="C416" s="19" t="s">
        <v>585</v>
      </c>
      <c r="F416" s="19" t="s">
        <v>3767</v>
      </c>
    </row>
    <row r="417" spans="1:18">
      <c r="B417" s="19" t="s">
        <v>3768</v>
      </c>
      <c r="C417" s="19" t="s">
        <v>51</v>
      </c>
      <c r="D417" s="19" t="s">
        <v>3769</v>
      </c>
      <c r="E417" s="19" t="s">
        <v>3770</v>
      </c>
      <c r="F417" s="19" t="s">
        <v>3771</v>
      </c>
      <c r="I417" s="19" t="s">
        <v>3772</v>
      </c>
      <c r="K417" s="19" t="s">
        <v>3773</v>
      </c>
      <c r="M417" s="19" t="s">
        <v>3774</v>
      </c>
      <c r="P417" s="19" t="s">
        <v>3775</v>
      </c>
      <c r="Q417" s="19" t="s">
        <v>3776</v>
      </c>
      <c r="R417" s="19" t="s">
        <v>3777</v>
      </c>
    </row>
    <row r="418" spans="1:18">
      <c r="A418" s="19" t="s">
        <v>26</v>
      </c>
      <c r="B418" s="19" t="s">
        <v>3778</v>
      </c>
      <c r="C418" s="19" t="s">
        <v>51</v>
      </c>
      <c r="D418" s="19" t="s">
        <v>3779</v>
      </c>
      <c r="E418" s="19" t="s">
        <v>3780</v>
      </c>
      <c r="F418" s="19" t="s">
        <v>3781</v>
      </c>
      <c r="I418" s="19" t="s">
        <v>3782</v>
      </c>
      <c r="K418" s="19" t="s">
        <v>3783</v>
      </c>
      <c r="M418" s="19" t="s">
        <v>3784</v>
      </c>
      <c r="P418" s="19" t="s">
        <v>3785</v>
      </c>
      <c r="Q418" s="19" t="s">
        <v>3786</v>
      </c>
      <c r="R418" s="19" t="s">
        <v>3787</v>
      </c>
    </row>
    <row r="419" spans="1:18">
      <c r="A419" s="19" t="s">
        <v>26</v>
      </c>
      <c r="B419" s="19" t="s">
        <v>3788</v>
      </c>
      <c r="C419" s="19" t="s">
        <v>51</v>
      </c>
      <c r="D419" s="19" t="s">
        <v>3789</v>
      </c>
      <c r="E419" s="19" t="s">
        <v>3790</v>
      </c>
      <c r="F419" s="19" t="s">
        <v>3791</v>
      </c>
      <c r="I419" s="19" t="s">
        <v>3792</v>
      </c>
      <c r="K419" s="19" t="s">
        <v>3793</v>
      </c>
      <c r="M419" s="19" t="s">
        <v>3794</v>
      </c>
      <c r="P419" s="19" t="s">
        <v>3795</v>
      </c>
      <c r="Q419" s="19" t="s">
        <v>3796</v>
      </c>
      <c r="R419" s="19" t="s">
        <v>3797</v>
      </c>
    </row>
    <row r="420" spans="1:18">
      <c r="A420" s="19" t="s">
        <v>26</v>
      </c>
      <c r="B420" s="19" t="s">
        <v>3798</v>
      </c>
      <c r="C420" s="19" t="s">
        <v>51</v>
      </c>
      <c r="D420" s="19" t="s">
        <v>3799</v>
      </c>
      <c r="E420" s="19" t="s">
        <v>3800</v>
      </c>
      <c r="F420" s="19" t="s">
        <v>3801</v>
      </c>
      <c r="I420" s="19" t="s">
        <v>3802</v>
      </c>
      <c r="K420" s="19" t="s">
        <v>3803</v>
      </c>
      <c r="M420" s="19" t="s">
        <v>3804</v>
      </c>
      <c r="P420" s="19" t="s">
        <v>3805</v>
      </c>
      <c r="Q420" s="19" t="s">
        <v>3806</v>
      </c>
      <c r="R420" s="19" t="s">
        <v>3807</v>
      </c>
    </row>
    <row r="421" spans="1:18">
      <c r="A421" s="19" t="s">
        <v>26</v>
      </c>
      <c r="B421" s="19" t="s">
        <v>3808</v>
      </c>
      <c r="C421" s="19" t="s">
        <v>51</v>
      </c>
      <c r="D421" s="19" t="s">
        <v>3809</v>
      </c>
      <c r="E421" s="19" t="s">
        <v>3810</v>
      </c>
      <c r="F421" s="19" t="s">
        <v>3811</v>
      </c>
      <c r="I421" s="19" t="s">
        <v>3812</v>
      </c>
      <c r="K421" s="19" t="s">
        <v>3813</v>
      </c>
      <c r="M421" s="19" t="s">
        <v>3814</v>
      </c>
      <c r="P421" s="19" t="s">
        <v>3815</v>
      </c>
      <c r="Q421" s="19" t="s">
        <v>3816</v>
      </c>
      <c r="R421" s="19" t="s">
        <v>3817</v>
      </c>
    </row>
    <row r="422" spans="1:18">
      <c r="A422" s="19" t="s">
        <v>26</v>
      </c>
      <c r="B422" s="19" t="s">
        <v>3818</v>
      </c>
      <c r="C422" s="19" t="s">
        <v>51</v>
      </c>
      <c r="D422" s="19" t="s">
        <v>3819</v>
      </c>
      <c r="E422" s="19" t="s">
        <v>3820</v>
      </c>
      <c r="F422" s="19" t="s">
        <v>3821</v>
      </c>
      <c r="I422" s="19" t="s">
        <v>3822</v>
      </c>
      <c r="K422" s="19" t="s">
        <v>3823</v>
      </c>
      <c r="M422" s="19" t="s">
        <v>3824</v>
      </c>
      <c r="P422" s="19" t="s">
        <v>3825</v>
      </c>
      <c r="Q422" s="19" t="s">
        <v>3826</v>
      </c>
      <c r="R422" s="19" t="s">
        <v>3827</v>
      </c>
    </row>
    <row r="423" spans="1:18">
      <c r="A423" s="19" t="s">
        <v>26</v>
      </c>
      <c r="B423" s="19" t="s">
        <v>3828</v>
      </c>
      <c r="C423" s="19" t="s">
        <v>51</v>
      </c>
      <c r="D423" s="19" t="s">
        <v>3829</v>
      </c>
      <c r="E423" s="19" t="s">
        <v>3830</v>
      </c>
      <c r="F423" s="19" t="s">
        <v>3831</v>
      </c>
      <c r="I423" s="19" t="s">
        <v>3832</v>
      </c>
      <c r="K423" s="19" t="s">
        <v>3833</v>
      </c>
      <c r="M423" s="19" t="s">
        <v>3834</v>
      </c>
      <c r="P423" s="19" t="s">
        <v>3835</v>
      </c>
      <c r="Q423" s="19" t="s">
        <v>3836</v>
      </c>
      <c r="R423" s="19" t="s">
        <v>3837</v>
      </c>
    </row>
    <row r="424" spans="1:18">
      <c r="A424" s="19" t="s">
        <v>26</v>
      </c>
      <c r="B424" s="19" t="s">
        <v>3838</v>
      </c>
      <c r="C424" s="19" t="s">
        <v>51</v>
      </c>
      <c r="D424" s="19" t="s">
        <v>3839</v>
      </c>
      <c r="E424" s="19" t="s">
        <v>3840</v>
      </c>
      <c r="F424" s="19" t="s">
        <v>3841</v>
      </c>
      <c r="I424" s="19" t="s">
        <v>3842</v>
      </c>
      <c r="K424" s="19" t="s">
        <v>3843</v>
      </c>
      <c r="M424" s="19" t="s">
        <v>3844</v>
      </c>
      <c r="P424" s="19" t="s">
        <v>3845</v>
      </c>
      <c r="Q424" s="19" t="s">
        <v>3846</v>
      </c>
      <c r="R424" s="19" t="s">
        <v>3847</v>
      </c>
    </row>
    <row r="425" spans="1:18">
      <c r="A425" s="19" t="s">
        <v>26</v>
      </c>
      <c r="B425" s="19" t="s">
        <v>3848</v>
      </c>
      <c r="C425" s="19" t="s">
        <v>51</v>
      </c>
      <c r="D425" s="19" t="s">
        <v>3849</v>
      </c>
      <c r="E425" s="19" t="s">
        <v>3850</v>
      </c>
      <c r="F425" s="19" t="s">
        <v>3851</v>
      </c>
      <c r="I425" s="19" t="s">
        <v>3852</v>
      </c>
      <c r="K425" s="19" t="s">
        <v>3853</v>
      </c>
      <c r="M425" s="19" t="s">
        <v>3854</v>
      </c>
      <c r="P425" s="19" t="s">
        <v>3855</v>
      </c>
      <c r="Q425" s="19" t="s">
        <v>3856</v>
      </c>
      <c r="R425" s="19" t="s">
        <v>3857</v>
      </c>
    </row>
    <row r="426" spans="1:18">
      <c r="A426" s="19" t="s">
        <v>26</v>
      </c>
      <c r="B426" s="19" t="s">
        <v>3858</v>
      </c>
      <c r="C426" s="19" t="s">
        <v>51</v>
      </c>
      <c r="D426" s="19" t="s">
        <v>3859</v>
      </c>
      <c r="E426" s="19" t="s">
        <v>3860</v>
      </c>
      <c r="F426" s="19" t="s">
        <v>3861</v>
      </c>
      <c r="I426" s="19" t="s">
        <v>3862</v>
      </c>
      <c r="K426" s="19" t="s">
        <v>3863</v>
      </c>
      <c r="M426" s="19" t="s">
        <v>3864</v>
      </c>
      <c r="P426" s="19" t="s">
        <v>3865</v>
      </c>
      <c r="Q426" s="19" t="s">
        <v>3866</v>
      </c>
      <c r="R426" s="19" t="s">
        <v>3867</v>
      </c>
    </row>
    <row r="427" spans="1:18">
      <c r="A427" s="19" t="s">
        <v>26</v>
      </c>
      <c r="B427" s="19" t="s">
        <v>3868</v>
      </c>
      <c r="C427" s="19" t="s">
        <v>51</v>
      </c>
      <c r="D427" s="19" t="s">
        <v>3869</v>
      </c>
      <c r="E427" s="19" t="s">
        <v>3870</v>
      </c>
      <c r="F427" s="19" t="s">
        <v>3871</v>
      </c>
      <c r="I427" s="19" t="s">
        <v>3872</v>
      </c>
      <c r="K427" s="19" t="s">
        <v>3873</v>
      </c>
      <c r="M427" s="19" t="s">
        <v>3874</v>
      </c>
      <c r="P427" s="19" t="s">
        <v>3875</v>
      </c>
      <c r="Q427" s="19" t="s">
        <v>3876</v>
      </c>
      <c r="R427" s="19" t="s">
        <v>3877</v>
      </c>
    </row>
    <row r="428" spans="1:18">
      <c r="A428" s="19" t="s">
        <v>26</v>
      </c>
      <c r="B428" s="19" t="s">
        <v>3878</v>
      </c>
      <c r="C428" s="19" t="s">
        <v>51</v>
      </c>
      <c r="D428" s="19" t="s">
        <v>3879</v>
      </c>
      <c r="E428" s="19" t="s">
        <v>3880</v>
      </c>
      <c r="F428" s="19" t="s">
        <v>3881</v>
      </c>
      <c r="I428" s="19" t="s">
        <v>3882</v>
      </c>
      <c r="K428" s="19" t="s">
        <v>3883</v>
      </c>
      <c r="M428" s="19" t="s">
        <v>3884</v>
      </c>
      <c r="P428" s="19" t="s">
        <v>3885</v>
      </c>
      <c r="Q428" s="19" t="s">
        <v>3886</v>
      </c>
      <c r="R428" s="19" t="s">
        <v>3887</v>
      </c>
    </row>
    <row r="429" spans="1:18">
      <c r="B429" s="19" t="s">
        <v>16</v>
      </c>
    </row>
    <row r="430" spans="1:18">
      <c r="B430" s="19" t="s">
        <v>3888</v>
      </c>
      <c r="F430" s="19" t="s">
        <v>3889</v>
      </c>
      <c r="I430" s="19" t="s">
        <v>3890</v>
      </c>
      <c r="K430" s="19" t="s">
        <v>3891</v>
      </c>
      <c r="M430" s="19" t="s">
        <v>3892</v>
      </c>
      <c r="P430" s="19" t="s">
        <v>3893</v>
      </c>
      <c r="Q430" s="19" t="s">
        <v>3894</v>
      </c>
      <c r="R430" s="19" t="s">
        <v>3895</v>
      </c>
    </row>
    <row r="431" spans="1:18">
      <c r="B431" s="19" t="s">
        <v>17</v>
      </c>
    </row>
    <row r="432" spans="1:18">
      <c r="B432" s="19" t="s">
        <v>3896</v>
      </c>
      <c r="C432" s="19" t="s">
        <v>606</v>
      </c>
      <c r="F432" s="19" t="s">
        <v>3897</v>
      </c>
    </row>
    <row r="433" spans="1:18">
      <c r="B433" s="19" t="s">
        <v>3898</v>
      </c>
      <c r="C433" s="19" t="s">
        <v>52</v>
      </c>
      <c r="D433" s="19" t="s">
        <v>3899</v>
      </c>
      <c r="E433" s="19" t="s">
        <v>3900</v>
      </c>
      <c r="F433" s="19" t="s">
        <v>3901</v>
      </c>
      <c r="I433" s="19" t="s">
        <v>3902</v>
      </c>
      <c r="K433" s="19" t="s">
        <v>3903</v>
      </c>
      <c r="M433" s="19" t="s">
        <v>3904</v>
      </c>
      <c r="P433" s="19" t="s">
        <v>3905</v>
      </c>
      <c r="Q433" s="19" t="s">
        <v>3906</v>
      </c>
      <c r="R433" s="19" t="s">
        <v>3907</v>
      </c>
    </row>
    <row r="434" spans="1:18">
      <c r="A434" s="19" t="s">
        <v>26</v>
      </c>
      <c r="B434" s="19" t="s">
        <v>3908</v>
      </c>
      <c r="C434" s="19" t="s">
        <v>52</v>
      </c>
      <c r="D434" s="19" t="s">
        <v>3909</v>
      </c>
      <c r="E434" s="19" t="s">
        <v>3910</v>
      </c>
      <c r="F434" s="19" t="s">
        <v>3911</v>
      </c>
      <c r="I434" s="19" t="s">
        <v>3912</v>
      </c>
      <c r="K434" s="19" t="s">
        <v>3913</v>
      </c>
      <c r="M434" s="19" t="s">
        <v>3914</v>
      </c>
      <c r="P434" s="19" t="s">
        <v>3915</v>
      </c>
      <c r="Q434" s="19" t="s">
        <v>3916</v>
      </c>
      <c r="R434" s="19" t="s">
        <v>3917</v>
      </c>
    </row>
    <row r="435" spans="1:18">
      <c r="A435" s="19" t="s">
        <v>26</v>
      </c>
      <c r="B435" s="19" t="s">
        <v>3918</v>
      </c>
      <c r="C435" s="19" t="s">
        <v>52</v>
      </c>
      <c r="D435" s="19" t="s">
        <v>3919</v>
      </c>
      <c r="E435" s="19" t="s">
        <v>3920</v>
      </c>
      <c r="F435" s="19" t="s">
        <v>3921</v>
      </c>
      <c r="I435" s="19" t="s">
        <v>3922</v>
      </c>
      <c r="K435" s="19" t="s">
        <v>3923</v>
      </c>
      <c r="M435" s="19" t="s">
        <v>3924</v>
      </c>
      <c r="P435" s="19" t="s">
        <v>3925</v>
      </c>
      <c r="Q435" s="19" t="s">
        <v>3926</v>
      </c>
      <c r="R435" s="19" t="s">
        <v>3927</v>
      </c>
    </row>
    <row r="436" spans="1:18">
      <c r="A436" s="19" t="s">
        <v>26</v>
      </c>
      <c r="B436" s="19" t="s">
        <v>3928</v>
      </c>
      <c r="C436" s="19" t="s">
        <v>52</v>
      </c>
      <c r="D436" s="19" t="s">
        <v>3929</v>
      </c>
      <c r="E436" s="19" t="s">
        <v>3930</v>
      </c>
      <c r="F436" s="19" t="s">
        <v>3931</v>
      </c>
      <c r="I436" s="19" t="s">
        <v>3932</v>
      </c>
      <c r="K436" s="19" t="s">
        <v>3933</v>
      </c>
      <c r="M436" s="19" t="s">
        <v>3934</v>
      </c>
      <c r="P436" s="19" t="s">
        <v>3935</v>
      </c>
      <c r="Q436" s="19" t="s">
        <v>3936</v>
      </c>
      <c r="R436" s="19" t="s">
        <v>3937</v>
      </c>
    </row>
    <row r="437" spans="1:18">
      <c r="A437" s="19" t="s">
        <v>26</v>
      </c>
      <c r="B437" s="19" t="s">
        <v>3938</v>
      </c>
      <c r="C437" s="19" t="s">
        <v>52</v>
      </c>
      <c r="D437" s="19" t="s">
        <v>3939</v>
      </c>
      <c r="E437" s="19" t="s">
        <v>3940</v>
      </c>
      <c r="F437" s="19" t="s">
        <v>3941</v>
      </c>
      <c r="I437" s="19" t="s">
        <v>3942</v>
      </c>
      <c r="K437" s="19" t="s">
        <v>3943</v>
      </c>
      <c r="M437" s="19" t="s">
        <v>3944</v>
      </c>
      <c r="P437" s="19" t="s">
        <v>3945</v>
      </c>
      <c r="Q437" s="19" t="s">
        <v>3946</v>
      </c>
      <c r="R437" s="19" t="s">
        <v>3947</v>
      </c>
    </row>
    <row r="438" spans="1:18">
      <c r="A438" s="19" t="s">
        <v>26</v>
      </c>
      <c r="B438" s="19" t="s">
        <v>3948</v>
      </c>
      <c r="C438" s="19" t="s">
        <v>52</v>
      </c>
      <c r="D438" s="19" t="s">
        <v>3949</v>
      </c>
      <c r="E438" s="19" t="s">
        <v>3950</v>
      </c>
      <c r="F438" s="19" t="s">
        <v>3951</v>
      </c>
      <c r="I438" s="19" t="s">
        <v>3952</v>
      </c>
      <c r="K438" s="19" t="s">
        <v>3953</v>
      </c>
      <c r="M438" s="19" t="s">
        <v>3954</v>
      </c>
      <c r="P438" s="19" t="s">
        <v>3955</v>
      </c>
      <c r="Q438" s="19" t="s">
        <v>3956</v>
      </c>
      <c r="R438" s="19" t="s">
        <v>3957</v>
      </c>
    </row>
    <row r="439" spans="1:18">
      <c r="A439" s="19" t="s">
        <v>26</v>
      </c>
      <c r="B439" s="19" t="s">
        <v>3958</v>
      </c>
      <c r="C439" s="19" t="s">
        <v>52</v>
      </c>
      <c r="D439" s="19" t="s">
        <v>3959</v>
      </c>
      <c r="E439" s="19" t="s">
        <v>3960</v>
      </c>
      <c r="F439" s="19" t="s">
        <v>3961</v>
      </c>
      <c r="I439" s="19" t="s">
        <v>3962</v>
      </c>
      <c r="K439" s="19" t="s">
        <v>3963</v>
      </c>
      <c r="M439" s="19" t="s">
        <v>3964</v>
      </c>
      <c r="P439" s="19" t="s">
        <v>3965</v>
      </c>
      <c r="Q439" s="19" t="s">
        <v>3966</v>
      </c>
      <c r="R439" s="19" t="s">
        <v>3967</v>
      </c>
    </row>
    <row r="440" spans="1:18">
      <c r="A440" s="19" t="s">
        <v>26</v>
      </c>
      <c r="B440" s="19" t="s">
        <v>3968</v>
      </c>
      <c r="C440" s="19" t="s">
        <v>52</v>
      </c>
      <c r="D440" s="19" t="s">
        <v>3969</v>
      </c>
      <c r="E440" s="19" t="s">
        <v>3970</v>
      </c>
      <c r="F440" s="19" t="s">
        <v>3971</v>
      </c>
      <c r="I440" s="19" t="s">
        <v>3972</v>
      </c>
      <c r="K440" s="19" t="s">
        <v>3973</v>
      </c>
      <c r="M440" s="19" t="s">
        <v>3974</v>
      </c>
      <c r="P440" s="19" t="s">
        <v>3975</v>
      </c>
      <c r="Q440" s="19" t="s">
        <v>3976</v>
      </c>
      <c r="R440" s="19" t="s">
        <v>3977</v>
      </c>
    </row>
    <row r="441" spans="1:18">
      <c r="A441" s="19" t="s">
        <v>26</v>
      </c>
      <c r="B441" s="19" t="s">
        <v>3978</v>
      </c>
      <c r="C441" s="19" t="s">
        <v>52</v>
      </c>
      <c r="D441" s="19" t="s">
        <v>3979</v>
      </c>
      <c r="E441" s="19" t="s">
        <v>3980</v>
      </c>
      <c r="F441" s="19" t="s">
        <v>3981</v>
      </c>
      <c r="I441" s="19" t="s">
        <v>3982</v>
      </c>
      <c r="K441" s="19" t="s">
        <v>3983</v>
      </c>
      <c r="M441" s="19" t="s">
        <v>3984</v>
      </c>
      <c r="P441" s="19" t="s">
        <v>3985</v>
      </c>
      <c r="Q441" s="19" t="s">
        <v>3986</v>
      </c>
      <c r="R441" s="19" t="s">
        <v>3987</v>
      </c>
    </row>
    <row r="442" spans="1:18">
      <c r="B442" s="19" t="s">
        <v>16</v>
      </c>
    </row>
    <row r="443" spans="1:18">
      <c r="B443" s="19" t="s">
        <v>3988</v>
      </c>
      <c r="F443" s="19" t="s">
        <v>3989</v>
      </c>
      <c r="I443" s="19" t="s">
        <v>3990</v>
      </c>
      <c r="K443" s="19" t="s">
        <v>3991</v>
      </c>
      <c r="M443" s="19" t="s">
        <v>3992</v>
      </c>
      <c r="P443" s="19" t="s">
        <v>3993</v>
      </c>
      <c r="Q443" s="19" t="s">
        <v>3994</v>
      </c>
      <c r="R443" s="19" t="s">
        <v>3995</v>
      </c>
    </row>
    <row r="445" spans="1:18">
      <c r="B445" s="19" t="s">
        <v>3996</v>
      </c>
      <c r="F445" s="19" t="s">
        <v>53</v>
      </c>
      <c r="I445" s="19" t="s">
        <v>3997</v>
      </c>
      <c r="K445" s="19" t="s">
        <v>3998</v>
      </c>
      <c r="M445" s="19" t="s">
        <v>3999</v>
      </c>
      <c r="P445" s="19" t="s">
        <v>4000</v>
      </c>
      <c r="Q445" s="19" t="s">
        <v>4001</v>
      </c>
      <c r="R445" s="19" t="s">
        <v>4002</v>
      </c>
    </row>
    <row r="446" spans="1:18">
      <c r="B446" s="19" t="s">
        <v>3896</v>
      </c>
    </row>
    <row r="447" spans="1:18">
      <c r="B447" s="19" t="s">
        <v>4003</v>
      </c>
      <c r="C447" s="19" t="s">
        <v>634</v>
      </c>
      <c r="F447" s="19" t="s">
        <v>54</v>
      </c>
    </row>
    <row r="448" spans="1:18">
      <c r="B448" s="19" t="s">
        <v>4004</v>
      </c>
      <c r="C448" s="19" t="s">
        <v>55</v>
      </c>
      <c r="D448" s="19" t="s">
        <v>4005</v>
      </c>
      <c r="E448" s="19" t="s">
        <v>4006</v>
      </c>
      <c r="F448" s="19" t="s">
        <v>4007</v>
      </c>
      <c r="I448" s="19" t="s">
        <v>4008</v>
      </c>
      <c r="K448" s="19" t="s">
        <v>4009</v>
      </c>
      <c r="M448" s="19" t="s">
        <v>4010</v>
      </c>
      <c r="P448" s="19" t="s">
        <v>4011</v>
      </c>
      <c r="Q448" s="19" t="s">
        <v>4012</v>
      </c>
      <c r="R448" s="19" t="s">
        <v>4013</v>
      </c>
    </row>
    <row r="449" spans="1:18">
      <c r="A449" s="19" t="s">
        <v>26</v>
      </c>
      <c r="B449" s="19" t="s">
        <v>4014</v>
      </c>
      <c r="C449" s="19" t="s">
        <v>55</v>
      </c>
      <c r="D449" s="19" t="s">
        <v>4015</v>
      </c>
      <c r="E449" s="19" t="s">
        <v>4016</v>
      </c>
      <c r="F449" s="19" t="s">
        <v>4017</v>
      </c>
      <c r="I449" s="19" t="s">
        <v>4018</v>
      </c>
      <c r="K449" s="19" t="s">
        <v>4019</v>
      </c>
      <c r="M449" s="19" t="s">
        <v>4020</v>
      </c>
      <c r="P449" s="19" t="s">
        <v>4021</v>
      </c>
      <c r="Q449" s="19" t="s">
        <v>4022</v>
      </c>
      <c r="R449" s="19" t="s">
        <v>4023</v>
      </c>
    </row>
    <row r="450" spans="1:18">
      <c r="A450" s="19" t="s">
        <v>26</v>
      </c>
      <c r="B450" s="19" t="s">
        <v>4024</v>
      </c>
      <c r="C450" s="19" t="s">
        <v>55</v>
      </c>
      <c r="D450" s="19" t="s">
        <v>4025</v>
      </c>
      <c r="E450" s="19" t="s">
        <v>4026</v>
      </c>
      <c r="F450" s="19" t="s">
        <v>4027</v>
      </c>
      <c r="I450" s="19" t="s">
        <v>4028</v>
      </c>
      <c r="K450" s="19" t="s">
        <v>4029</v>
      </c>
      <c r="M450" s="19" t="s">
        <v>4030</v>
      </c>
      <c r="P450" s="19" t="s">
        <v>4031</v>
      </c>
      <c r="Q450" s="19" t="s">
        <v>4032</v>
      </c>
      <c r="R450" s="19" t="s">
        <v>4033</v>
      </c>
    </row>
    <row r="451" spans="1:18">
      <c r="A451" s="19" t="s">
        <v>26</v>
      </c>
      <c r="B451" s="19" t="s">
        <v>4034</v>
      </c>
      <c r="C451" s="19" t="s">
        <v>55</v>
      </c>
      <c r="D451" s="19" t="s">
        <v>4035</v>
      </c>
      <c r="E451" s="19" t="s">
        <v>4036</v>
      </c>
      <c r="F451" s="19" t="s">
        <v>4037</v>
      </c>
      <c r="I451" s="19" t="s">
        <v>4038</v>
      </c>
      <c r="K451" s="19" t="s">
        <v>4039</v>
      </c>
      <c r="M451" s="19" t="s">
        <v>4040</v>
      </c>
      <c r="P451" s="19" t="s">
        <v>4041</v>
      </c>
      <c r="Q451" s="19" t="s">
        <v>4042</v>
      </c>
      <c r="R451" s="19" t="s">
        <v>4043</v>
      </c>
    </row>
    <row r="452" spans="1:18">
      <c r="A452" s="19" t="s">
        <v>26</v>
      </c>
      <c r="B452" s="19" t="s">
        <v>4044</v>
      </c>
      <c r="C452" s="19" t="s">
        <v>55</v>
      </c>
      <c r="D452" s="19" t="s">
        <v>4045</v>
      </c>
      <c r="E452" s="19" t="s">
        <v>4046</v>
      </c>
      <c r="F452" s="19" t="s">
        <v>4047</v>
      </c>
      <c r="I452" s="19" t="s">
        <v>4048</v>
      </c>
      <c r="K452" s="19" t="s">
        <v>4049</v>
      </c>
      <c r="M452" s="19" t="s">
        <v>4050</v>
      </c>
      <c r="P452" s="19" t="s">
        <v>4051</v>
      </c>
      <c r="Q452" s="19" t="s">
        <v>4052</v>
      </c>
      <c r="R452" s="19" t="s">
        <v>4053</v>
      </c>
    </row>
    <row r="453" spans="1:18">
      <c r="A453" s="19" t="s">
        <v>26</v>
      </c>
      <c r="B453" s="19" t="s">
        <v>4054</v>
      </c>
      <c r="C453" s="19" t="s">
        <v>55</v>
      </c>
      <c r="D453" s="19" t="s">
        <v>4055</v>
      </c>
      <c r="E453" s="19" t="s">
        <v>4056</v>
      </c>
      <c r="F453" s="19" t="s">
        <v>4057</v>
      </c>
      <c r="I453" s="19" t="s">
        <v>4058</v>
      </c>
      <c r="K453" s="19" t="s">
        <v>4059</v>
      </c>
      <c r="M453" s="19" t="s">
        <v>4060</v>
      </c>
      <c r="P453" s="19" t="s">
        <v>4061</v>
      </c>
      <c r="Q453" s="19" t="s">
        <v>4062</v>
      </c>
      <c r="R453" s="19" t="s">
        <v>4063</v>
      </c>
    </row>
    <row r="454" spans="1:18">
      <c r="B454" s="19" t="s">
        <v>16</v>
      </c>
    </row>
    <row r="455" spans="1:18">
      <c r="B455" s="19" t="s">
        <v>4064</v>
      </c>
      <c r="F455" s="19" t="s">
        <v>4065</v>
      </c>
      <c r="I455" s="19" t="s">
        <v>4066</v>
      </c>
      <c r="K455" s="19" t="s">
        <v>4067</v>
      </c>
      <c r="M455" s="19" t="s">
        <v>4068</v>
      </c>
      <c r="P455" s="19" t="s">
        <v>4069</v>
      </c>
      <c r="Q455" s="19" t="s">
        <v>4070</v>
      </c>
      <c r="R455" s="19" t="s">
        <v>4071</v>
      </c>
    </row>
    <row r="456" spans="1:18">
      <c r="B456" s="19" t="s">
        <v>4003</v>
      </c>
    </row>
    <row r="457" spans="1:18">
      <c r="B457" s="19" t="s">
        <v>4072</v>
      </c>
      <c r="C457" s="19" t="s">
        <v>654</v>
      </c>
      <c r="F457" s="19" t="s">
        <v>4073</v>
      </c>
    </row>
    <row r="458" spans="1:18">
      <c r="B458" s="19" t="s">
        <v>4074</v>
      </c>
      <c r="C458" s="19" t="s">
        <v>56</v>
      </c>
      <c r="D458" s="19" t="s">
        <v>4075</v>
      </c>
      <c r="E458" s="19" t="s">
        <v>4076</v>
      </c>
      <c r="F458" s="19" t="s">
        <v>4077</v>
      </c>
      <c r="I458" s="19" t="s">
        <v>4078</v>
      </c>
      <c r="K458" s="19" t="s">
        <v>4079</v>
      </c>
      <c r="M458" s="19" t="s">
        <v>4080</v>
      </c>
      <c r="P458" s="19" t="s">
        <v>4081</v>
      </c>
      <c r="Q458" s="19" t="s">
        <v>4082</v>
      </c>
      <c r="R458" s="19" t="s">
        <v>4083</v>
      </c>
    </row>
    <row r="459" spans="1:18">
      <c r="A459" s="19" t="s">
        <v>26</v>
      </c>
      <c r="B459" s="19" t="s">
        <v>4084</v>
      </c>
      <c r="C459" s="19" t="s">
        <v>56</v>
      </c>
      <c r="D459" s="19" t="s">
        <v>4085</v>
      </c>
      <c r="E459" s="19" t="s">
        <v>4086</v>
      </c>
      <c r="F459" s="19" t="s">
        <v>4087</v>
      </c>
      <c r="I459" s="19" t="s">
        <v>4088</v>
      </c>
      <c r="K459" s="19" t="s">
        <v>4089</v>
      </c>
      <c r="M459" s="19" t="s">
        <v>4090</v>
      </c>
      <c r="P459" s="19" t="s">
        <v>4091</v>
      </c>
      <c r="Q459" s="19" t="s">
        <v>4092</v>
      </c>
      <c r="R459" s="19" t="s">
        <v>4093</v>
      </c>
    </row>
    <row r="460" spans="1:18">
      <c r="A460" s="19" t="s">
        <v>26</v>
      </c>
      <c r="B460" s="19" t="s">
        <v>4094</v>
      </c>
      <c r="C460" s="19" t="s">
        <v>56</v>
      </c>
      <c r="D460" s="19" t="s">
        <v>4095</v>
      </c>
      <c r="E460" s="19" t="s">
        <v>4096</v>
      </c>
      <c r="F460" s="19" t="s">
        <v>4097</v>
      </c>
      <c r="I460" s="19" t="s">
        <v>4098</v>
      </c>
      <c r="K460" s="19" t="s">
        <v>4099</v>
      </c>
      <c r="M460" s="19" t="s">
        <v>4100</v>
      </c>
      <c r="P460" s="19" t="s">
        <v>4101</v>
      </c>
      <c r="Q460" s="19" t="s">
        <v>4102</v>
      </c>
      <c r="R460" s="19" t="s">
        <v>4103</v>
      </c>
    </row>
    <row r="461" spans="1:18">
      <c r="A461" s="19" t="s">
        <v>26</v>
      </c>
      <c r="B461" s="19" t="s">
        <v>4104</v>
      </c>
      <c r="C461" s="19" t="s">
        <v>56</v>
      </c>
      <c r="D461" s="19" t="s">
        <v>4105</v>
      </c>
      <c r="E461" s="19" t="s">
        <v>4106</v>
      </c>
      <c r="F461" s="19" t="s">
        <v>4107</v>
      </c>
      <c r="I461" s="19" t="s">
        <v>4108</v>
      </c>
      <c r="K461" s="19" t="s">
        <v>4109</v>
      </c>
      <c r="M461" s="19" t="s">
        <v>4110</v>
      </c>
      <c r="P461" s="19" t="s">
        <v>4111</v>
      </c>
      <c r="Q461" s="19" t="s">
        <v>4112</v>
      </c>
      <c r="R461" s="19" t="s">
        <v>4113</v>
      </c>
    </row>
    <row r="462" spans="1:18">
      <c r="A462" s="19" t="s">
        <v>26</v>
      </c>
      <c r="B462" s="19" t="s">
        <v>4114</v>
      </c>
      <c r="C462" s="19" t="s">
        <v>56</v>
      </c>
      <c r="D462" s="19" t="s">
        <v>4115</v>
      </c>
      <c r="E462" s="19" t="s">
        <v>4116</v>
      </c>
      <c r="F462" s="19" t="s">
        <v>4117</v>
      </c>
      <c r="I462" s="19" t="s">
        <v>4118</v>
      </c>
      <c r="K462" s="19" t="s">
        <v>4119</v>
      </c>
      <c r="M462" s="19" t="s">
        <v>4120</v>
      </c>
      <c r="P462" s="19" t="s">
        <v>4121</v>
      </c>
      <c r="Q462" s="19" t="s">
        <v>4122</v>
      </c>
      <c r="R462" s="19" t="s">
        <v>4123</v>
      </c>
    </row>
    <row r="463" spans="1:18">
      <c r="A463" s="19" t="s">
        <v>26</v>
      </c>
      <c r="B463" s="19" t="s">
        <v>4124</v>
      </c>
      <c r="C463" s="19" t="s">
        <v>56</v>
      </c>
      <c r="D463" s="19" t="s">
        <v>4125</v>
      </c>
      <c r="E463" s="19" t="s">
        <v>4126</v>
      </c>
      <c r="F463" s="19" t="s">
        <v>4127</v>
      </c>
      <c r="I463" s="19" t="s">
        <v>4128</v>
      </c>
      <c r="K463" s="19" t="s">
        <v>4129</v>
      </c>
      <c r="M463" s="19" t="s">
        <v>4130</v>
      </c>
      <c r="P463" s="19" t="s">
        <v>4131</v>
      </c>
      <c r="Q463" s="19" t="s">
        <v>4132</v>
      </c>
      <c r="R463" s="19" t="s">
        <v>4133</v>
      </c>
    </row>
    <row r="464" spans="1:18">
      <c r="A464" s="19" t="s">
        <v>26</v>
      </c>
      <c r="B464" s="19" t="s">
        <v>4134</v>
      </c>
      <c r="C464" s="19" t="s">
        <v>56</v>
      </c>
      <c r="D464" s="19" t="s">
        <v>4135</v>
      </c>
      <c r="E464" s="19" t="s">
        <v>4136</v>
      </c>
      <c r="F464" s="19" t="s">
        <v>4137</v>
      </c>
      <c r="I464" s="19" t="s">
        <v>4138</v>
      </c>
      <c r="K464" s="19" t="s">
        <v>4139</v>
      </c>
      <c r="M464" s="19" t="s">
        <v>4140</v>
      </c>
      <c r="P464" s="19" t="s">
        <v>4141</v>
      </c>
      <c r="Q464" s="19" t="s">
        <v>4142</v>
      </c>
      <c r="R464" s="19" t="s">
        <v>4143</v>
      </c>
    </row>
    <row r="465" spans="1:18">
      <c r="A465" s="19" t="s">
        <v>26</v>
      </c>
      <c r="B465" s="19" t="s">
        <v>4144</v>
      </c>
      <c r="C465" s="19" t="s">
        <v>56</v>
      </c>
      <c r="D465" s="19" t="s">
        <v>4145</v>
      </c>
      <c r="E465" s="19" t="s">
        <v>4146</v>
      </c>
      <c r="F465" s="19" t="s">
        <v>4147</v>
      </c>
      <c r="I465" s="19" t="s">
        <v>4148</v>
      </c>
      <c r="K465" s="19" t="s">
        <v>4149</v>
      </c>
      <c r="M465" s="19" t="s">
        <v>4150</v>
      </c>
      <c r="P465" s="19" t="s">
        <v>4151</v>
      </c>
      <c r="Q465" s="19" t="s">
        <v>4152</v>
      </c>
      <c r="R465" s="19" t="s">
        <v>4153</v>
      </c>
    </row>
    <row r="466" spans="1:18">
      <c r="A466" s="19" t="s">
        <v>26</v>
      </c>
      <c r="B466" s="19" t="s">
        <v>4154</v>
      </c>
      <c r="C466" s="19" t="s">
        <v>56</v>
      </c>
      <c r="D466" s="19" t="s">
        <v>4155</v>
      </c>
      <c r="E466" s="19" t="s">
        <v>4156</v>
      </c>
      <c r="F466" s="19" t="s">
        <v>4157</v>
      </c>
      <c r="I466" s="19" t="s">
        <v>4158</v>
      </c>
      <c r="K466" s="19" t="s">
        <v>4159</v>
      </c>
      <c r="M466" s="19" t="s">
        <v>4160</v>
      </c>
      <c r="P466" s="19" t="s">
        <v>4161</v>
      </c>
      <c r="Q466" s="19" t="s">
        <v>4162</v>
      </c>
      <c r="R466" s="19" t="s">
        <v>4163</v>
      </c>
    </row>
    <row r="467" spans="1:18">
      <c r="A467" s="19" t="s">
        <v>26</v>
      </c>
      <c r="B467" s="19" t="s">
        <v>4164</v>
      </c>
      <c r="C467" s="19" t="s">
        <v>56</v>
      </c>
      <c r="D467" s="19" t="s">
        <v>4165</v>
      </c>
      <c r="E467" s="19" t="s">
        <v>4166</v>
      </c>
      <c r="F467" s="19" t="s">
        <v>4167</v>
      </c>
      <c r="I467" s="19" t="s">
        <v>4168</v>
      </c>
      <c r="K467" s="19" t="s">
        <v>4169</v>
      </c>
      <c r="M467" s="19" t="s">
        <v>4170</v>
      </c>
      <c r="P467" s="19" t="s">
        <v>4171</v>
      </c>
      <c r="Q467" s="19" t="s">
        <v>4172</v>
      </c>
      <c r="R467" s="19" t="s">
        <v>4173</v>
      </c>
    </row>
    <row r="468" spans="1:18">
      <c r="A468" s="19" t="s">
        <v>26</v>
      </c>
      <c r="B468" s="19" t="s">
        <v>4174</v>
      </c>
      <c r="C468" s="19" t="s">
        <v>56</v>
      </c>
      <c r="D468" s="19" t="s">
        <v>4175</v>
      </c>
      <c r="E468" s="19" t="s">
        <v>4176</v>
      </c>
      <c r="F468" s="19" t="s">
        <v>4177</v>
      </c>
      <c r="I468" s="19" t="s">
        <v>4178</v>
      </c>
      <c r="K468" s="19" t="s">
        <v>4179</v>
      </c>
      <c r="M468" s="19" t="s">
        <v>4180</v>
      </c>
      <c r="P468" s="19" t="s">
        <v>4181</v>
      </c>
      <c r="Q468" s="19" t="s">
        <v>4182</v>
      </c>
      <c r="R468" s="19" t="s">
        <v>4183</v>
      </c>
    </row>
    <row r="469" spans="1:18">
      <c r="A469" s="19" t="s">
        <v>26</v>
      </c>
      <c r="B469" s="19" t="s">
        <v>4184</v>
      </c>
      <c r="C469" s="19" t="s">
        <v>56</v>
      </c>
      <c r="D469" s="19" t="s">
        <v>4185</v>
      </c>
      <c r="E469" s="19" t="s">
        <v>4186</v>
      </c>
      <c r="F469" s="19" t="s">
        <v>4187</v>
      </c>
      <c r="I469" s="19" t="s">
        <v>4188</v>
      </c>
      <c r="K469" s="19" t="s">
        <v>4189</v>
      </c>
      <c r="M469" s="19" t="s">
        <v>4190</v>
      </c>
      <c r="P469" s="19" t="s">
        <v>4191</v>
      </c>
      <c r="Q469" s="19" t="s">
        <v>4192</v>
      </c>
      <c r="R469" s="19" t="s">
        <v>4193</v>
      </c>
    </row>
    <row r="470" spans="1:18">
      <c r="A470" s="19" t="s">
        <v>26</v>
      </c>
      <c r="B470" s="19" t="s">
        <v>4194</v>
      </c>
      <c r="C470" s="19" t="s">
        <v>56</v>
      </c>
      <c r="D470" s="19" t="s">
        <v>4195</v>
      </c>
      <c r="E470" s="19" t="s">
        <v>4196</v>
      </c>
      <c r="F470" s="19" t="s">
        <v>4197</v>
      </c>
      <c r="I470" s="19" t="s">
        <v>4198</v>
      </c>
      <c r="K470" s="19" t="s">
        <v>4199</v>
      </c>
      <c r="M470" s="19" t="s">
        <v>4200</v>
      </c>
      <c r="P470" s="19" t="s">
        <v>4201</v>
      </c>
      <c r="Q470" s="19" t="s">
        <v>4202</v>
      </c>
      <c r="R470" s="19" t="s">
        <v>4203</v>
      </c>
    </row>
    <row r="471" spans="1:18">
      <c r="A471" s="19" t="s">
        <v>26</v>
      </c>
      <c r="B471" s="19" t="s">
        <v>4204</v>
      </c>
      <c r="C471" s="19" t="s">
        <v>56</v>
      </c>
      <c r="D471" s="19" t="s">
        <v>4205</v>
      </c>
      <c r="E471" s="19" t="s">
        <v>4206</v>
      </c>
      <c r="F471" s="19" t="s">
        <v>4207</v>
      </c>
      <c r="I471" s="19" t="s">
        <v>4208</v>
      </c>
      <c r="K471" s="19" t="s">
        <v>4209</v>
      </c>
      <c r="M471" s="19" t="s">
        <v>4210</v>
      </c>
      <c r="P471" s="19" t="s">
        <v>4211</v>
      </c>
      <c r="Q471" s="19" t="s">
        <v>4212</v>
      </c>
      <c r="R471" s="19" t="s">
        <v>4213</v>
      </c>
    </row>
    <row r="472" spans="1:18">
      <c r="A472" s="19" t="s">
        <v>26</v>
      </c>
      <c r="B472" s="19" t="s">
        <v>4214</v>
      </c>
      <c r="C472" s="19" t="s">
        <v>56</v>
      </c>
      <c r="D472" s="19" t="s">
        <v>4215</v>
      </c>
      <c r="E472" s="19" t="s">
        <v>4216</v>
      </c>
      <c r="F472" s="19" t="s">
        <v>4217</v>
      </c>
      <c r="I472" s="19" t="s">
        <v>4218</v>
      </c>
      <c r="K472" s="19" t="s">
        <v>4219</v>
      </c>
      <c r="M472" s="19" t="s">
        <v>4220</v>
      </c>
      <c r="P472" s="19" t="s">
        <v>4221</v>
      </c>
      <c r="Q472" s="19" t="s">
        <v>4222</v>
      </c>
      <c r="R472" s="19" t="s">
        <v>4223</v>
      </c>
    </row>
    <row r="473" spans="1:18">
      <c r="A473" s="19" t="s">
        <v>26</v>
      </c>
      <c r="B473" s="19" t="s">
        <v>4224</v>
      </c>
      <c r="C473" s="19" t="s">
        <v>56</v>
      </c>
      <c r="D473" s="19" t="s">
        <v>4225</v>
      </c>
      <c r="E473" s="19" t="s">
        <v>4226</v>
      </c>
      <c r="F473" s="19" t="s">
        <v>4227</v>
      </c>
      <c r="I473" s="19" t="s">
        <v>4228</v>
      </c>
      <c r="K473" s="19" t="s">
        <v>4229</v>
      </c>
      <c r="M473" s="19" t="s">
        <v>4230</v>
      </c>
      <c r="P473" s="19" t="s">
        <v>4231</v>
      </c>
      <c r="Q473" s="19" t="s">
        <v>4232</v>
      </c>
      <c r="R473" s="19" t="s">
        <v>4233</v>
      </c>
    </row>
    <row r="474" spans="1:18">
      <c r="B474" s="19" t="s">
        <v>16</v>
      </c>
    </row>
    <row r="475" spans="1:18">
      <c r="B475" s="19" t="s">
        <v>4234</v>
      </c>
      <c r="F475" s="19" t="s">
        <v>4235</v>
      </c>
      <c r="I475" s="19" t="s">
        <v>4236</v>
      </c>
      <c r="K475" s="19" t="s">
        <v>4237</v>
      </c>
      <c r="M475" s="19" t="s">
        <v>4238</v>
      </c>
      <c r="P475" s="19" t="s">
        <v>4239</v>
      </c>
      <c r="Q475" s="19" t="s">
        <v>4240</v>
      </c>
      <c r="R475" s="19" t="s">
        <v>4241</v>
      </c>
    </row>
    <row r="476" spans="1:18">
      <c r="B476" s="19" t="s">
        <v>4072</v>
      </c>
    </row>
    <row r="477" spans="1:18">
      <c r="B477" s="19" t="s">
        <v>4242</v>
      </c>
      <c r="C477" s="19" t="s">
        <v>675</v>
      </c>
      <c r="F477" s="19" t="s">
        <v>4243</v>
      </c>
    </row>
    <row r="478" spans="1:18">
      <c r="B478" s="19" t="s">
        <v>4244</v>
      </c>
      <c r="C478" s="19" t="s">
        <v>57</v>
      </c>
      <c r="D478" s="19" t="s">
        <v>4245</v>
      </c>
      <c r="E478" s="19" t="s">
        <v>4246</v>
      </c>
      <c r="F478" s="19" t="s">
        <v>4247</v>
      </c>
      <c r="I478" s="19" t="s">
        <v>4248</v>
      </c>
      <c r="K478" s="19" t="s">
        <v>4249</v>
      </c>
      <c r="M478" s="19" t="s">
        <v>4250</v>
      </c>
      <c r="P478" s="19" t="s">
        <v>4251</v>
      </c>
      <c r="Q478" s="19" t="s">
        <v>4252</v>
      </c>
      <c r="R478" s="19" t="s">
        <v>4253</v>
      </c>
    </row>
    <row r="479" spans="1:18">
      <c r="A479" s="19" t="s">
        <v>26</v>
      </c>
      <c r="B479" s="19" t="s">
        <v>4254</v>
      </c>
      <c r="C479" s="19" t="s">
        <v>57</v>
      </c>
      <c r="D479" s="19" t="s">
        <v>4255</v>
      </c>
      <c r="E479" s="19" t="s">
        <v>4256</v>
      </c>
      <c r="F479" s="19" t="s">
        <v>4257</v>
      </c>
      <c r="I479" s="19" t="s">
        <v>4258</v>
      </c>
      <c r="K479" s="19" t="s">
        <v>4259</v>
      </c>
      <c r="M479" s="19" t="s">
        <v>4260</v>
      </c>
      <c r="P479" s="19" t="s">
        <v>4261</v>
      </c>
      <c r="Q479" s="19" t="s">
        <v>4262</v>
      </c>
      <c r="R479" s="19" t="s">
        <v>4263</v>
      </c>
    </row>
    <row r="480" spans="1:18">
      <c r="A480" s="19" t="s">
        <v>26</v>
      </c>
      <c r="B480" s="19" t="s">
        <v>4264</v>
      </c>
      <c r="C480" s="19" t="s">
        <v>57</v>
      </c>
      <c r="D480" s="19" t="s">
        <v>4265</v>
      </c>
      <c r="E480" s="19" t="s">
        <v>4266</v>
      </c>
      <c r="F480" s="19" t="s">
        <v>4267</v>
      </c>
      <c r="I480" s="19" t="s">
        <v>4268</v>
      </c>
      <c r="K480" s="19" t="s">
        <v>4269</v>
      </c>
      <c r="M480" s="19" t="s">
        <v>4270</v>
      </c>
      <c r="P480" s="19" t="s">
        <v>4271</v>
      </c>
      <c r="Q480" s="19" t="s">
        <v>4272</v>
      </c>
      <c r="R480" s="19" t="s">
        <v>4273</v>
      </c>
    </row>
    <row r="481" spans="1:18">
      <c r="A481" s="19" t="s">
        <v>26</v>
      </c>
      <c r="B481" s="19" t="s">
        <v>4274</v>
      </c>
      <c r="C481" s="19" t="s">
        <v>57</v>
      </c>
      <c r="D481" s="19" t="s">
        <v>4275</v>
      </c>
      <c r="E481" s="19" t="s">
        <v>4276</v>
      </c>
      <c r="F481" s="19" t="s">
        <v>4277</v>
      </c>
      <c r="I481" s="19" t="s">
        <v>4278</v>
      </c>
      <c r="K481" s="19" t="s">
        <v>4279</v>
      </c>
      <c r="M481" s="19" t="s">
        <v>4280</v>
      </c>
      <c r="P481" s="19" t="s">
        <v>4281</v>
      </c>
      <c r="Q481" s="19" t="s">
        <v>4282</v>
      </c>
      <c r="R481" s="19" t="s">
        <v>4283</v>
      </c>
    </row>
    <row r="482" spans="1:18">
      <c r="A482" s="19" t="s">
        <v>26</v>
      </c>
      <c r="B482" s="19" t="s">
        <v>4284</v>
      </c>
      <c r="C482" s="19" t="s">
        <v>57</v>
      </c>
      <c r="D482" s="19" t="s">
        <v>4285</v>
      </c>
      <c r="E482" s="19" t="s">
        <v>4286</v>
      </c>
      <c r="F482" s="19" t="s">
        <v>4287</v>
      </c>
      <c r="I482" s="19" t="s">
        <v>4288</v>
      </c>
      <c r="K482" s="19" t="s">
        <v>4289</v>
      </c>
      <c r="M482" s="19" t="s">
        <v>4290</v>
      </c>
      <c r="P482" s="19" t="s">
        <v>4291</v>
      </c>
      <c r="Q482" s="19" t="s">
        <v>4292</v>
      </c>
      <c r="R482" s="19" t="s">
        <v>4293</v>
      </c>
    </row>
    <row r="483" spans="1:18">
      <c r="A483" s="19" t="s">
        <v>26</v>
      </c>
      <c r="B483" s="19" t="s">
        <v>4294</v>
      </c>
      <c r="C483" s="19" t="s">
        <v>57</v>
      </c>
      <c r="D483" s="19" t="s">
        <v>4295</v>
      </c>
      <c r="E483" s="19" t="s">
        <v>4296</v>
      </c>
      <c r="F483" s="19" t="s">
        <v>4297</v>
      </c>
      <c r="I483" s="19" t="s">
        <v>4298</v>
      </c>
      <c r="K483" s="19" t="s">
        <v>4299</v>
      </c>
      <c r="M483" s="19" t="s">
        <v>4300</v>
      </c>
      <c r="P483" s="19" t="s">
        <v>4301</v>
      </c>
      <c r="Q483" s="19" t="s">
        <v>4302</v>
      </c>
      <c r="R483" s="19" t="s">
        <v>4303</v>
      </c>
    </row>
    <row r="484" spans="1:18">
      <c r="A484" s="19" t="s">
        <v>26</v>
      </c>
      <c r="B484" s="19" t="s">
        <v>4304</v>
      </c>
      <c r="C484" s="19" t="s">
        <v>57</v>
      </c>
      <c r="D484" s="19" t="s">
        <v>4305</v>
      </c>
      <c r="E484" s="19" t="s">
        <v>4306</v>
      </c>
      <c r="F484" s="19" t="s">
        <v>4307</v>
      </c>
      <c r="I484" s="19" t="s">
        <v>4308</v>
      </c>
      <c r="K484" s="19" t="s">
        <v>4309</v>
      </c>
      <c r="M484" s="19" t="s">
        <v>4310</v>
      </c>
      <c r="P484" s="19" t="s">
        <v>4311</v>
      </c>
      <c r="Q484" s="19" t="s">
        <v>4312</v>
      </c>
      <c r="R484" s="19" t="s">
        <v>4313</v>
      </c>
    </row>
    <row r="485" spans="1:18">
      <c r="A485" s="19" t="s">
        <v>26</v>
      </c>
      <c r="B485" s="19" t="s">
        <v>4314</v>
      </c>
      <c r="C485" s="19" t="s">
        <v>57</v>
      </c>
      <c r="D485" s="19" t="s">
        <v>4315</v>
      </c>
      <c r="E485" s="19" t="s">
        <v>4316</v>
      </c>
      <c r="F485" s="19" t="s">
        <v>4317</v>
      </c>
      <c r="I485" s="19" t="s">
        <v>4318</v>
      </c>
      <c r="K485" s="19" t="s">
        <v>4319</v>
      </c>
      <c r="M485" s="19" t="s">
        <v>4320</v>
      </c>
      <c r="P485" s="19" t="s">
        <v>4321</v>
      </c>
      <c r="Q485" s="19" t="s">
        <v>4322</v>
      </c>
      <c r="R485" s="19" t="s">
        <v>4323</v>
      </c>
    </row>
    <row r="486" spans="1:18">
      <c r="A486" s="19" t="s">
        <v>26</v>
      </c>
      <c r="B486" s="19" t="s">
        <v>4324</v>
      </c>
      <c r="C486" s="19" t="s">
        <v>57</v>
      </c>
      <c r="D486" s="19" t="s">
        <v>4325</v>
      </c>
      <c r="E486" s="19" t="s">
        <v>4326</v>
      </c>
      <c r="F486" s="19" t="s">
        <v>4327</v>
      </c>
      <c r="I486" s="19" t="s">
        <v>4328</v>
      </c>
      <c r="K486" s="19" t="s">
        <v>4329</v>
      </c>
      <c r="M486" s="19" t="s">
        <v>4330</v>
      </c>
      <c r="P486" s="19" t="s">
        <v>4331</v>
      </c>
      <c r="Q486" s="19" t="s">
        <v>4332</v>
      </c>
      <c r="R486" s="19" t="s">
        <v>4333</v>
      </c>
    </row>
    <row r="487" spans="1:18">
      <c r="B487" s="19" t="s">
        <v>16</v>
      </c>
    </row>
    <row r="488" spans="1:18">
      <c r="B488" s="19" t="s">
        <v>4334</v>
      </c>
      <c r="F488" s="19" t="s">
        <v>4335</v>
      </c>
      <c r="I488" s="19" t="s">
        <v>4336</v>
      </c>
      <c r="K488" s="19" t="s">
        <v>4337</v>
      </c>
      <c r="M488" s="19" t="s">
        <v>4338</v>
      </c>
      <c r="P488" s="19" t="s">
        <v>4339</v>
      </c>
      <c r="Q488" s="19" t="s">
        <v>4340</v>
      </c>
      <c r="R488" s="19" t="s">
        <v>4341</v>
      </c>
    </row>
    <row r="489" spans="1:18">
      <c r="B489" s="19" t="s">
        <v>4242</v>
      </c>
    </row>
    <row r="490" spans="1:18">
      <c r="B490" s="19" t="s">
        <v>4342</v>
      </c>
      <c r="F490" s="19" t="s">
        <v>58</v>
      </c>
      <c r="I490" s="19" t="s">
        <v>4343</v>
      </c>
      <c r="K490" s="19" t="s">
        <v>4344</v>
      </c>
      <c r="M490" s="19" t="s">
        <v>4345</v>
      </c>
      <c r="P490" s="19" t="s">
        <v>4346</v>
      </c>
      <c r="Q490" s="19" t="s">
        <v>4347</v>
      </c>
      <c r="R490" s="19" t="s">
        <v>4348</v>
      </c>
    </row>
    <row r="492" spans="1:18">
      <c r="B492" s="19" t="s">
        <v>4349</v>
      </c>
      <c r="C492" s="19" t="s">
        <v>703</v>
      </c>
      <c r="F492" s="19" t="s">
        <v>4350</v>
      </c>
    </row>
    <row r="493" spans="1:18">
      <c r="B493" s="19" t="s">
        <v>4351</v>
      </c>
      <c r="C493" s="19" t="s">
        <v>59</v>
      </c>
      <c r="D493" s="19" t="s">
        <v>4352</v>
      </c>
      <c r="E493" s="19" t="s">
        <v>4353</v>
      </c>
      <c r="F493" s="19" t="s">
        <v>4354</v>
      </c>
      <c r="I493" s="19" t="s">
        <v>4355</v>
      </c>
      <c r="K493" s="19" t="s">
        <v>4356</v>
      </c>
      <c r="M493" s="19" t="s">
        <v>4357</v>
      </c>
      <c r="P493" s="19" t="s">
        <v>4358</v>
      </c>
      <c r="Q493" s="19" t="s">
        <v>4359</v>
      </c>
      <c r="R493" s="19" t="s">
        <v>4360</v>
      </c>
    </row>
    <row r="494" spans="1:18">
      <c r="B494" s="19" t="s">
        <v>16</v>
      </c>
    </row>
    <row r="495" spans="1:18">
      <c r="B495" s="19" t="s">
        <v>4361</v>
      </c>
      <c r="F495" s="19" t="s">
        <v>4362</v>
      </c>
      <c r="I495" s="19" t="s">
        <v>4363</v>
      </c>
      <c r="K495" s="19" t="s">
        <v>4364</v>
      </c>
      <c r="M495" s="19" t="s">
        <v>4365</v>
      </c>
      <c r="P495" s="19" t="s">
        <v>4366</v>
      </c>
      <c r="Q495" s="19" t="s">
        <v>4367</v>
      </c>
      <c r="R495" s="19" t="s">
        <v>4368</v>
      </c>
    </row>
    <row r="496" spans="1:18">
      <c r="B496" s="19" t="s">
        <v>4349</v>
      </c>
    </row>
    <row r="497" spans="1:18">
      <c r="B497" s="19" t="s">
        <v>4369</v>
      </c>
      <c r="C497" s="19" t="s">
        <v>724</v>
      </c>
      <c r="F497" s="19" t="s">
        <v>4370</v>
      </c>
    </row>
    <row r="498" spans="1:18">
      <c r="B498" s="19" t="s">
        <v>4371</v>
      </c>
      <c r="C498" s="19" t="s">
        <v>60</v>
      </c>
      <c r="D498" s="19" t="s">
        <v>4372</v>
      </c>
      <c r="E498" s="19" t="s">
        <v>4373</v>
      </c>
      <c r="F498" s="19" t="s">
        <v>4374</v>
      </c>
      <c r="I498" s="19" t="s">
        <v>4375</v>
      </c>
      <c r="K498" s="19" t="s">
        <v>4376</v>
      </c>
      <c r="M498" s="19" t="s">
        <v>4377</v>
      </c>
      <c r="P498" s="19" t="s">
        <v>4378</v>
      </c>
      <c r="Q498" s="19" t="s">
        <v>4379</v>
      </c>
      <c r="R498" s="19" t="s">
        <v>4380</v>
      </c>
    </row>
    <row r="499" spans="1:18">
      <c r="A499" s="19" t="s">
        <v>26</v>
      </c>
      <c r="B499" s="19" t="s">
        <v>4381</v>
      </c>
      <c r="C499" s="19" t="s">
        <v>60</v>
      </c>
      <c r="D499" s="19" t="s">
        <v>4382</v>
      </c>
      <c r="E499" s="19" t="s">
        <v>4383</v>
      </c>
      <c r="F499" s="19" t="s">
        <v>4384</v>
      </c>
      <c r="I499" s="19" t="s">
        <v>4385</v>
      </c>
      <c r="K499" s="19" t="s">
        <v>4386</v>
      </c>
      <c r="M499" s="19" t="s">
        <v>4387</v>
      </c>
      <c r="P499" s="19" t="s">
        <v>4388</v>
      </c>
      <c r="Q499" s="19" t="s">
        <v>4389</v>
      </c>
      <c r="R499" s="19" t="s">
        <v>4390</v>
      </c>
    </row>
    <row r="500" spans="1:18">
      <c r="B500" s="19" t="s">
        <v>16</v>
      </c>
    </row>
    <row r="501" spans="1:18">
      <c r="B501" s="19" t="s">
        <v>4391</v>
      </c>
      <c r="F501" s="19" t="s">
        <v>4392</v>
      </c>
      <c r="I501" s="19" t="s">
        <v>4393</v>
      </c>
      <c r="K501" s="19" t="s">
        <v>4394</v>
      </c>
      <c r="M501" s="19" t="s">
        <v>4395</v>
      </c>
      <c r="P501" s="19" t="s">
        <v>4396</v>
      </c>
      <c r="Q501" s="19" t="s">
        <v>4397</v>
      </c>
      <c r="R501" s="19" t="s">
        <v>4398</v>
      </c>
    </row>
    <row r="502" spans="1:18">
      <c r="B502" s="19" t="s">
        <v>4369</v>
      </c>
    </row>
    <row r="503" spans="1:18">
      <c r="B503" s="19" t="s">
        <v>4399</v>
      </c>
      <c r="C503" s="19" t="s">
        <v>745</v>
      </c>
      <c r="F503" s="19" t="s">
        <v>4400</v>
      </c>
    </row>
    <row r="504" spans="1:18">
      <c r="B504" s="19" t="s">
        <v>4401</v>
      </c>
      <c r="C504" s="19" t="s">
        <v>61</v>
      </c>
      <c r="D504" s="19" t="s">
        <v>4402</v>
      </c>
      <c r="E504" s="19" t="s">
        <v>4403</v>
      </c>
      <c r="F504" s="19" t="s">
        <v>4404</v>
      </c>
      <c r="I504" s="19" t="s">
        <v>4405</v>
      </c>
      <c r="K504" s="19" t="s">
        <v>4406</v>
      </c>
      <c r="M504" s="19" t="s">
        <v>4407</v>
      </c>
      <c r="P504" s="19" t="s">
        <v>4408</v>
      </c>
      <c r="Q504" s="19" t="s">
        <v>4409</v>
      </c>
      <c r="R504" s="19" t="s">
        <v>4410</v>
      </c>
    </row>
    <row r="505" spans="1:18">
      <c r="A505" s="19" t="s">
        <v>26</v>
      </c>
      <c r="B505" s="19" t="s">
        <v>4411</v>
      </c>
      <c r="C505" s="19" t="s">
        <v>61</v>
      </c>
      <c r="D505" s="19" t="s">
        <v>4412</v>
      </c>
      <c r="E505" s="19" t="s">
        <v>4413</v>
      </c>
      <c r="F505" s="19" t="s">
        <v>4414</v>
      </c>
      <c r="I505" s="19" t="s">
        <v>4415</v>
      </c>
      <c r="K505" s="19" t="s">
        <v>4416</v>
      </c>
      <c r="M505" s="19" t="s">
        <v>4417</v>
      </c>
      <c r="P505" s="19" t="s">
        <v>4418</v>
      </c>
      <c r="Q505" s="19" t="s">
        <v>4419</v>
      </c>
      <c r="R505" s="19" t="s">
        <v>4420</v>
      </c>
    </row>
    <row r="506" spans="1:18">
      <c r="B506" s="19" t="s">
        <v>16</v>
      </c>
    </row>
    <row r="507" spans="1:18">
      <c r="B507" s="19" t="s">
        <v>4421</v>
      </c>
      <c r="F507" s="19" t="s">
        <v>4422</v>
      </c>
      <c r="I507" s="19" t="s">
        <v>4423</v>
      </c>
      <c r="K507" s="19" t="s">
        <v>4424</v>
      </c>
      <c r="M507" s="19" t="s">
        <v>4425</v>
      </c>
      <c r="P507" s="19" t="s">
        <v>4426</v>
      </c>
      <c r="Q507" s="19" t="s">
        <v>4427</v>
      </c>
      <c r="R507" s="19" t="s">
        <v>4428</v>
      </c>
    </row>
    <row r="508" spans="1:18">
      <c r="B508" s="19" t="s">
        <v>4399</v>
      </c>
    </row>
    <row r="509" spans="1:18">
      <c r="B509" s="19" t="s">
        <v>4429</v>
      </c>
      <c r="C509" s="19" t="s">
        <v>766</v>
      </c>
      <c r="F509" s="19" t="s">
        <v>4430</v>
      </c>
    </row>
    <row r="510" spans="1:18">
      <c r="B510" s="19" t="s">
        <v>4431</v>
      </c>
      <c r="C510" s="19" t="s">
        <v>62</v>
      </c>
      <c r="D510" s="19" t="s">
        <v>4432</v>
      </c>
      <c r="E510" s="19" t="s">
        <v>4433</v>
      </c>
      <c r="F510" s="19" t="s">
        <v>4434</v>
      </c>
      <c r="I510" s="19" t="s">
        <v>4435</v>
      </c>
      <c r="K510" s="19" t="s">
        <v>4436</v>
      </c>
      <c r="M510" s="19" t="s">
        <v>4437</v>
      </c>
      <c r="P510" s="19" t="s">
        <v>4438</v>
      </c>
      <c r="Q510" s="19" t="s">
        <v>4439</v>
      </c>
      <c r="R510" s="19" t="s">
        <v>4440</v>
      </c>
    </row>
    <row r="511" spans="1:18">
      <c r="A511" s="19" t="s">
        <v>26</v>
      </c>
      <c r="B511" s="19" t="s">
        <v>4441</v>
      </c>
      <c r="C511" s="19" t="s">
        <v>62</v>
      </c>
      <c r="D511" s="19" t="s">
        <v>4442</v>
      </c>
      <c r="E511" s="19" t="s">
        <v>4443</v>
      </c>
      <c r="F511" s="19" t="s">
        <v>4444</v>
      </c>
      <c r="I511" s="19" t="s">
        <v>4445</v>
      </c>
      <c r="K511" s="19" t="s">
        <v>4446</v>
      </c>
      <c r="M511" s="19" t="s">
        <v>4447</v>
      </c>
      <c r="P511" s="19" t="s">
        <v>4448</v>
      </c>
      <c r="Q511" s="19" t="s">
        <v>4449</v>
      </c>
      <c r="R511" s="19" t="s">
        <v>4450</v>
      </c>
    </row>
    <row r="512" spans="1:18">
      <c r="A512" s="19" t="s">
        <v>26</v>
      </c>
      <c r="B512" s="19" t="s">
        <v>4451</v>
      </c>
      <c r="C512" s="19" t="s">
        <v>62</v>
      </c>
      <c r="D512" s="19" t="s">
        <v>4452</v>
      </c>
      <c r="E512" s="19" t="s">
        <v>4453</v>
      </c>
      <c r="F512" s="19" t="s">
        <v>4454</v>
      </c>
      <c r="I512" s="19" t="s">
        <v>4455</v>
      </c>
      <c r="K512" s="19" t="s">
        <v>4456</v>
      </c>
      <c r="M512" s="19" t="s">
        <v>4457</v>
      </c>
      <c r="P512" s="19" t="s">
        <v>4458</v>
      </c>
      <c r="Q512" s="19" t="s">
        <v>4459</v>
      </c>
      <c r="R512" s="19" t="s">
        <v>4460</v>
      </c>
    </row>
    <row r="513" spans="1:18">
      <c r="A513" s="19" t="s">
        <v>26</v>
      </c>
      <c r="B513" s="19" t="s">
        <v>4461</v>
      </c>
      <c r="C513" s="19" t="s">
        <v>62</v>
      </c>
      <c r="D513" s="19" t="s">
        <v>4462</v>
      </c>
      <c r="E513" s="19" t="s">
        <v>4463</v>
      </c>
      <c r="F513" s="19" t="s">
        <v>4464</v>
      </c>
      <c r="I513" s="19" t="s">
        <v>4465</v>
      </c>
      <c r="K513" s="19" t="s">
        <v>4466</v>
      </c>
      <c r="M513" s="19" t="s">
        <v>4467</v>
      </c>
      <c r="P513" s="19" t="s">
        <v>4468</v>
      </c>
      <c r="Q513" s="19" t="s">
        <v>4469</v>
      </c>
      <c r="R513" s="19" t="s">
        <v>4470</v>
      </c>
    </row>
    <row r="514" spans="1:18">
      <c r="A514" s="19" t="s">
        <v>26</v>
      </c>
      <c r="B514" s="19" t="s">
        <v>4471</v>
      </c>
      <c r="C514" s="19" t="s">
        <v>62</v>
      </c>
      <c r="D514" s="19" t="s">
        <v>4472</v>
      </c>
      <c r="E514" s="19" t="s">
        <v>4473</v>
      </c>
      <c r="F514" s="19" t="s">
        <v>4474</v>
      </c>
      <c r="I514" s="19" t="s">
        <v>4475</v>
      </c>
      <c r="K514" s="19" t="s">
        <v>4476</v>
      </c>
      <c r="M514" s="19" t="s">
        <v>4477</v>
      </c>
      <c r="P514" s="19" t="s">
        <v>4478</v>
      </c>
      <c r="Q514" s="19" t="s">
        <v>4479</v>
      </c>
      <c r="R514" s="19" t="s">
        <v>4480</v>
      </c>
    </row>
    <row r="515" spans="1:18">
      <c r="A515" s="19" t="s">
        <v>26</v>
      </c>
      <c r="B515" s="19" t="s">
        <v>4481</v>
      </c>
      <c r="C515" s="19" t="s">
        <v>62</v>
      </c>
      <c r="D515" s="19" t="s">
        <v>4482</v>
      </c>
      <c r="E515" s="19" t="s">
        <v>4483</v>
      </c>
      <c r="F515" s="19" t="s">
        <v>4484</v>
      </c>
      <c r="I515" s="19" t="s">
        <v>4485</v>
      </c>
      <c r="K515" s="19" t="s">
        <v>4486</v>
      </c>
      <c r="M515" s="19" t="s">
        <v>4487</v>
      </c>
      <c r="P515" s="19" t="s">
        <v>4488</v>
      </c>
      <c r="Q515" s="19" t="s">
        <v>4489</v>
      </c>
      <c r="R515" s="19" t="s">
        <v>4490</v>
      </c>
    </row>
    <row r="516" spans="1:18">
      <c r="A516" s="19" t="s">
        <v>26</v>
      </c>
      <c r="B516" s="19" t="s">
        <v>4491</v>
      </c>
      <c r="C516" s="19" t="s">
        <v>62</v>
      </c>
      <c r="D516" s="19" t="s">
        <v>4492</v>
      </c>
      <c r="E516" s="19" t="s">
        <v>4493</v>
      </c>
      <c r="F516" s="19" t="s">
        <v>4494</v>
      </c>
      <c r="I516" s="19" t="s">
        <v>4495</v>
      </c>
      <c r="K516" s="19" t="s">
        <v>4496</v>
      </c>
      <c r="M516" s="19" t="s">
        <v>4497</v>
      </c>
      <c r="P516" s="19" t="s">
        <v>4498</v>
      </c>
      <c r="Q516" s="19" t="s">
        <v>4499</v>
      </c>
      <c r="R516" s="19" t="s">
        <v>4500</v>
      </c>
    </row>
    <row r="517" spans="1:18">
      <c r="A517" s="19" t="s">
        <v>26</v>
      </c>
      <c r="B517" s="19" t="s">
        <v>4501</v>
      </c>
      <c r="C517" s="19" t="s">
        <v>62</v>
      </c>
      <c r="D517" s="19" t="s">
        <v>4502</v>
      </c>
      <c r="E517" s="19" t="s">
        <v>4503</v>
      </c>
      <c r="F517" s="19" t="s">
        <v>4504</v>
      </c>
      <c r="I517" s="19" t="s">
        <v>4505</v>
      </c>
      <c r="K517" s="19" t="s">
        <v>4506</v>
      </c>
      <c r="M517" s="19" t="s">
        <v>4507</v>
      </c>
      <c r="P517" s="19" t="s">
        <v>4508</v>
      </c>
      <c r="Q517" s="19" t="s">
        <v>4509</v>
      </c>
      <c r="R517" s="19" t="s">
        <v>4510</v>
      </c>
    </row>
    <row r="518" spans="1:18">
      <c r="A518" s="19" t="s">
        <v>26</v>
      </c>
      <c r="B518" s="19" t="s">
        <v>4511</v>
      </c>
      <c r="C518" s="19" t="s">
        <v>62</v>
      </c>
      <c r="D518" s="19" t="s">
        <v>4512</v>
      </c>
      <c r="E518" s="19" t="s">
        <v>4513</v>
      </c>
      <c r="F518" s="19" t="s">
        <v>4514</v>
      </c>
      <c r="I518" s="19" t="s">
        <v>4515</v>
      </c>
      <c r="K518" s="19" t="s">
        <v>4516</v>
      </c>
      <c r="M518" s="19" t="s">
        <v>4517</v>
      </c>
      <c r="P518" s="19" t="s">
        <v>4518</v>
      </c>
      <c r="Q518" s="19" t="s">
        <v>4519</v>
      </c>
      <c r="R518" s="19" t="s">
        <v>4520</v>
      </c>
    </row>
    <row r="519" spans="1:18">
      <c r="A519" s="19" t="s">
        <v>26</v>
      </c>
      <c r="B519" s="19" t="s">
        <v>4521</v>
      </c>
      <c r="C519" s="19" t="s">
        <v>62</v>
      </c>
      <c r="D519" s="19" t="s">
        <v>4522</v>
      </c>
      <c r="E519" s="19" t="s">
        <v>4523</v>
      </c>
      <c r="F519" s="19" t="s">
        <v>4524</v>
      </c>
      <c r="I519" s="19" t="s">
        <v>4525</v>
      </c>
      <c r="K519" s="19" t="s">
        <v>4526</v>
      </c>
      <c r="M519" s="19" t="s">
        <v>4527</v>
      </c>
      <c r="P519" s="19" t="s">
        <v>4528</v>
      </c>
      <c r="Q519" s="19" t="s">
        <v>4529</v>
      </c>
      <c r="R519" s="19" t="s">
        <v>4530</v>
      </c>
    </row>
    <row r="520" spans="1:18">
      <c r="A520" s="19" t="s">
        <v>26</v>
      </c>
      <c r="B520" s="19" t="s">
        <v>4531</v>
      </c>
      <c r="C520" s="19" t="s">
        <v>62</v>
      </c>
      <c r="D520" s="19" t="s">
        <v>4532</v>
      </c>
      <c r="E520" s="19" t="s">
        <v>4533</v>
      </c>
      <c r="F520" s="19" t="s">
        <v>4534</v>
      </c>
      <c r="I520" s="19" t="s">
        <v>4535</v>
      </c>
      <c r="K520" s="19" t="s">
        <v>4536</v>
      </c>
      <c r="M520" s="19" t="s">
        <v>4537</v>
      </c>
      <c r="P520" s="19" t="s">
        <v>4538</v>
      </c>
      <c r="Q520" s="19" t="s">
        <v>4539</v>
      </c>
      <c r="R520" s="19" t="s">
        <v>4540</v>
      </c>
    </row>
    <row r="521" spans="1:18">
      <c r="A521" s="19" t="s">
        <v>26</v>
      </c>
      <c r="B521" s="19" t="s">
        <v>4541</v>
      </c>
      <c r="C521" s="19" t="s">
        <v>62</v>
      </c>
      <c r="D521" s="19" t="s">
        <v>4542</v>
      </c>
      <c r="E521" s="19" t="s">
        <v>4543</v>
      </c>
      <c r="F521" s="19" t="s">
        <v>4544</v>
      </c>
      <c r="I521" s="19" t="s">
        <v>4545</v>
      </c>
      <c r="K521" s="19" t="s">
        <v>4546</v>
      </c>
      <c r="M521" s="19" t="s">
        <v>4547</v>
      </c>
      <c r="P521" s="19" t="s">
        <v>4548</v>
      </c>
      <c r="Q521" s="19" t="s">
        <v>4549</v>
      </c>
      <c r="R521" s="19" t="s">
        <v>4550</v>
      </c>
    </row>
    <row r="522" spans="1:18">
      <c r="A522" s="19" t="s">
        <v>26</v>
      </c>
      <c r="B522" s="19" t="s">
        <v>4551</v>
      </c>
      <c r="C522" s="19" t="s">
        <v>62</v>
      </c>
      <c r="D522" s="19" t="s">
        <v>4552</v>
      </c>
      <c r="E522" s="19" t="s">
        <v>4553</v>
      </c>
      <c r="F522" s="19" t="s">
        <v>4554</v>
      </c>
      <c r="I522" s="19" t="s">
        <v>4555</v>
      </c>
      <c r="K522" s="19" t="s">
        <v>4556</v>
      </c>
      <c r="M522" s="19" t="s">
        <v>4557</v>
      </c>
      <c r="P522" s="19" t="s">
        <v>4558</v>
      </c>
      <c r="Q522" s="19" t="s">
        <v>4559</v>
      </c>
      <c r="R522" s="19" t="s">
        <v>4560</v>
      </c>
    </row>
    <row r="523" spans="1:18">
      <c r="A523" s="19" t="s">
        <v>26</v>
      </c>
      <c r="B523" s="19" t="s">
        <v>4561</v>
      </c>
      <c r="C523" s="19" t="s">
        <v>62</v>
      </c>
      <c r="D523" s="19" t="s">
        <v>4562</v>
      </c>
      <c r="E523" s="19" t="s">
        <v>4563</v>
      </c>
      <c r="F523" s="19" t="s">
        <v>4564</v>
      </c>
      <c r="I523" s="19" t="s">
        <v>4565</v>
      </c>
      <c r="K523" s="19" t="s">
        <v>4566</v>
      </c>
      <c r="M523" s="19" t="s">
        <v>4567</v>
      </c>
      <c r="P523" s="19" t="s">
        <v>4568</v>
      </c>
      <c r="Q523" s="19" t="s">
        <v>4569</v>
      </c>
      <c r="R523" s="19" t="s">
        <v>4570</v>
      </c>
    </row>
    <row r="524" spans="1:18">
      <c r="A524" s="19" t="s">
        <v>26</v>
      </c>
      <c r="B524" s="19" t="s">
        <v>4571</v>
      </c>
      <c r="C524" s="19" t="s">
        <v>62</v>
      </c>
      <c r="D524" s="19" t="s">
        <v>4572</v>
      </c>
      <c r="E524" s="19" t="s">
        <v>4573</v>
      </c>
      <c r="F524" s="19" t="s">
        <v>4574</v>
      </c>
      <c r="I524" s="19" t="s">
        <v>4575</v>
      </c>
      <c r="K524" s="19" t="s">
        <v>4576</v>
      </c>
      <c r="M524" s="19" t="s">
        <v>4577</v>
      </c>
      <c r="P524" s="19" t="s">
        <v>4578</v>
      </c>
      <c r="Q524" s="19" t="s">
        <v>4579</v>
      </c>
      <c r="R524" s="19" t="s">
        <v>4580</v>
      </c>
    </row>
    <row r="525" spans="1:18">
      <c r="A525" s="19" t="s">
        <v>26</v>
      </c>
      <c r="B525" s="19" t="s">
        <v>4581</v>
      </c>
      <c r="C525" s="19" t="s">
        <v>62</v>
      </c>
      <c r="D525" s="19" t="s">
        <v>4582</v>
      </c>
      <c r="E525" s="19" t="s">
        <v>4583</v>
      </c>
      <c r="F525" s="19" t="s">
        <v>4584</v>
      </c>
      <c r="I525" s="19" t="s">
        <v>4585</v>
      </c>
      <c r="K525" s="19" t="s">
        <v>4586</v>
      </c>
      <c r="M525" s="19" t="s">
        <v>4587</v>
      </c>
      <c r="P525" s="19" t="s">
        <v>4588</v>
      </c>
      <c r="Q525" s="19" t="s">
        <v>4589</v>
      </c>
      <c r="R525" s="19" t="s">
        <v>4590</v>
      </c>
    </row>
    <row r="526" spans="1:18">
      <c r="A526" s="19" t="s">
        <v>26</v>
      </c>
      <c r="B526" s="19" t="s">
        <v>4591</v>
      </c>
      <c r="C526" s="19" t="s">
        <v>62</v>
      </c>
      <c r="D526" s="19" t="s">
        <v>4592</v>
      </c>
      <c r="E526" s="19" t="s">
        <v>4593</v>
      </c>
      <c r="F526" s="19" t="s">
        <v>4594</v>
      </c>
      <c r="I526" s="19" t="s">
        <v>4595</v>
      </c>
      <c r="K526" s="19" t="s">
        <v>4596</v>
      </c>
      <c r="M526" s="19" t="s">
        <v>4597</v>
      </c>
      <c r="P526" s="19" t="s">
        <v>4598</v>
      </c>
      <c r="Q526" s="19" t="s">
        <v>4599</v>
      </c>
      <c r="R526" s="19" t="s">
        <v>4600</v>
      </c>
    </row>
    <row r="527" spans="1:18">
      <c r="A527" s="19" t="s">
        <v>26</v>
      </c>
      <c r="B527" s="19" t="s">
        <v>4601</v>
      </c>
      <c r="C527" s="19" t="s">
        <v>62</v>
      </c>
      <c r="D527" s="19" t="s">
        <v>4602</v>
      </c>
      <c r="E527" s="19" t="s">
        <v>4603</v>
      </c>
      <c r="F527" s="19" t="s">
        <v>4604</v>
      </c>
      <c r="I527" s="19" t="s">
        <v>4605</v>
      </c>
      <c r="K527" s="19" t="s">
        <v>4606</v>
      </c>
      <c r="M527" s="19" t="s">
        <v>4607</v>
      </c>
      <c r="P527" s="19" t="s">
        <v>4608</v>
      </c>
      <c r="Q527" s="19" t="s">
        <v>4609</v>
      </c>
      <c r="R527" s="19" t="s">
        <v>4610</v>
      </c>
    </row>
    <row r="528" spans="1:18">
      <c r="A528" s="19" t="s">
        <v>26</v>
      </c>
      <c r="B528" s="19" t="s">
        <v>4611</v>
      </c>
      <c r="C528" s="19" t="s">
        <v>62</v>
      </c>
      <c r="D528" s="19" t="s">
        <v>4612</v>
      </c>
      <c r="E528" s="19" t="s">
        <v>4613</v>
      </c>
      <c r="F528" s="19" t="s">
        <v>4614</v>
      </c>
      <c r="I528" s="19" t="s">
        <v>4615</v>
      </c>
      <c r="K528" s="19" t="s">
        <v>4616</v>
      </c>
      <c r="M528" s="19" t="s">
        <v>4617</v>
      </c>
      <c r="P528" s="19" t="s">
        <v>4618</v>
      </c>
      <c r="Q528" s="19" t="s">
        <v>4619</v>
      </c>
      <c r="R528" s="19" t="s">
        <v>4620</v>
      </c>
    </row>
    <row r="529" spans="1:18">
      <c r="A529" s="19" t="s">
        <v>26</v>
      </c>
      <c r="B529" s="19" t="s">
        <v>4621</v>
      </c>
      <c r="C529" s="19" t="s">
        <v>62</v>
      </c>
      <c r="D529" s="19" t="s">
        <v>4622</v>
      </c>
      <c r="E529" s="19" t="s">
        <v>4623</v>
      </c>
      <c r="F529" s="19" t="s">
        <v>4624</v>
      </c>
      <c r="I529" s="19" t="s">
        <v>4625</v>
      </c>
      <c r="K529" s="19" t="s">
        <v>4626</v>
      </c>
      <c r="M529" s="19" t="s">
        <v>4627</v>
      </c>
      <c r="P529" s="19" t="s">
        <v>4628</v>
      </c>
      <c r="Q529" s="19" t="s">
        <v>4629</v>
      </c>
      <c r="R529" s="19" t="s">
        <v>4630</v>
      </c>
    </row>
    <row r="530" spans="1:18">
      <c r="A530" s="19" t="s">
        <v>26</v>
      </c>
      <c r="B530" s="19" t="s">
        <v>4631</v>
      </c>
      <c r="C530" s="19" t="s">
        <v>62</v>
      </c>
      <c r="D530" s="19" t="s">
        <v>4632</v>
      </c>
      <c r="E530" s="19" t="s">
        <v>4633</v>
      </c>
      <c r="F530" s="19" t="s">
        <v>4634</v>
      </c>
      <c r="I530" s="19" t="s">
        <v>4635</v>
      </c>
      <c r="K530" s="19" t="s">
        <v>4636</v>
      </c>
      <c r="M530" s="19" t="s">
        <v>4637</v>
      </c>
      <c r="P530" s="19" t="s">
        <v>4638</v>
      </c>
      <c r="Q530" s="19" t="s">
        <v>4639</v>
      </c>
      <c r="R530" s="19" t="s">
        <v>4640</v>
      </c>
    </row>
    <row r="531" spans="1:18">
      <c r="B531" s="19" t="s">
        <v>16</v>
      </c>
    </row>
    <row r="532" spans="1:18">
      <c r="B532" s="19" t="s">
        <v>4641</v>
      </c>
      <c r="F532" s="19" t="s">
        <v>4642</v>
      </c>
      <c r="I532" s="19" t="s">
        <v>4643</v>
      </c>
      <c r="K532" s="19" t="s">
        <v>4644</v>
      </c>
      <c r="M532" s="19" t="s">
        <v>4645</v>
      </c>
      <c r="P532" s="19" t="s">
        <v>4646</v>
      </c>
      <c r="Q532" s="19" t="s">
        <v>4647</v>
      </c>
      <c r="R532" s="19" t="s">
        <v>4648</v>
      </c>
    </row>
    <row r="533" spans="1:18">
      <c r="B533" s="19" t="s">
        <v>4429</v>
      </c>
    </row>
    <row r="534" spans="1:18">
      <c r="B534" s="19" t="s">
        <v>4649</v>
      </c>
      <c r="C534" s="19" t="s">
        <v>787</v>
      </c>
      <c r="F534" s="19" t="s">
        <v>4650</v>
      </c>
    </row>
    <row r="535" spans="1:18">
      <c r="B535" s="19" t="s">
        <v>4651</v>
      </c>
      <c r="C535" s="19" t="s">
        <v>63</v>
      </c>
      <c r="D535" s="19" t="s">
        <v>4652</v>
      </c>
      <c r="E535" s="19" t="s">
        <v>4653</v>
      </c>
      <c r="F535" s="19" t="s">
        <v>4654</v>
      </c>
      <c r="I535" s="19" t="s">
        <v>4655</v>
      </c>
      <c r="K535" s="19" t="s">
        <v>4656</v>
      </c>
      <c r="M535" s="19" t="s">
        <v>4657</v>
      </c>
      <c r="P535" s="19" t="s">
        <v>4658</v>
      </c>
      <c r="Q535" s="19" t="s">
        <v>4659</v>
      </c>
      <c r="R535" s="19" t="s">
        <v>4660</v>
      </c>
    </row>
    <row r="536" spans="1:18">
      <c r="A536" s="19" t="s">
        <v>26</v>
      </c>
      <c r="B536" s="19" t="s">
        <v>4661</v>
      </c>
      <c r="C536" s="19" t="s">
        <v>63</v>
      </c>
      <c r="D536" s="19" t="s">
        <v>4662</v>
      </c>
      <c r="E536" s="19" t="s">
        <v>4663</v>
      </c>
      <c r="F536" s="19" t="s">
        <v>4664</v>
      </c>
      <c r="I536" s="19" t="s">
        <v>4665</v>
      </c>
      <c r="K536" s="19" t="s">
        <v>4666</v>
      </c>
      <c r="M536" s="19" t="s">
        <v>4667</v>
      </c>
      <c r="P536" s="19" t="s">
        <v>4668</v>
      </c>
      <c r="Q536" s="19" t="s">
        <v>4669</v>
      </c>
      <c r="R536" s="19" t="s">
        <v>4670</v>
      </c>
    </row>
    <row r="537" spans="1:18">
      <c r="B537" s="19" t="s">
        <v>16</v>
      </c>
    </row>
    <row r="538" spans="1:18">
      <c r="B538" s="19" t="s">
        <v>4671</v>
      </c>
      <c r="F538" s="19" t="s">
        <v>4672</v>
      </c>
      <c r="I538" s="19" t="s">
        <v>4673</v>
      </c>
      <c r="K538" s="19" t="s">
        <v>4674</v>
      </c>
      <c r="M538" s="19" t="s">
        <v>4675</v>
      </c>
      <c r="P538" s="19" t="s">
        <v>4676</v>
      </c>
      <c r="Q538" s="19" t="s">
        <v>4677</v>
      </c>
      <c r="R538" s="19" t="s">
        <v>4678</v>
      </c>
    </row>
    <row r="539" spans="1:18">
      <c r="B539" s="19" t="s">
        <v>4649</v>
      </c>
    </row>
    <row r="540" spans="1:18">
      <c r="B540" s="19" t="s">
        <v>4679</v>
      </c>
      <c r="F540" s="19" t="s">
        <v>64</v>
      </c>
      <c r="I540" s="19" t="s">
        <v>4680</v>
      </c>
      <c r="K540" s="19" t="s">
        <v>4681</v>
      </c>
      <c r="M540" s="19" t="s">
        <v>4682</v>
      </c>
      <c r="P540" s="19" t="s">
        <v>950</v>
      </c>
      <c r="Q540" s="19" t="s">
        <v>951</v>
      </c>
      <c r="R540" s="19" t="s">
        <v>4683</v>
      </c>
    </row>
    <row r="542" spans="1:18">
      <c r="B542" s="19" t="s">
        <v>17</v>
      </c>
      <c r="F542" s="19" t="s">
        <v>65</v>
      </c>
      <c r="I542" s="19" t="s">
        <v>4684</v>
      </c>
      <c r="K542" s="19" t="s">
        <v>4685</v>
      </c>
      <c r="M542" s="19" t="s">
        <v>4686</v>
      </c>
      <c r="P542" s="19" t="s">
        <v>4687</v>
      </c>
      <c r="Q542" s="19" t="s">
        <v>4688</v>
      </c>
      <c r="R542" s="19" t="s">
        <v>4689</v>
      </c>
    </row>
    <row r="545" spans="1:18">
      <c r="B545" s="19" t="s">
        <v>4690</v>
      </c>
    </row>
    <row r="546" spans="1:18">
      <c r="B546" s="19" t="s">
        <v>4691</v>
      </c>
      <c r="F546" s="19" t="s">
        <v>66</v>
      </c>
      <c r="P546" s="19" t="s">
        <v>4692</v>
      </c>
      <c r="Q546" s="19" t="s">
        <v>4693</v>
      </c>
      <c r="R546" s="19" t="s">
        <v>4694</v>
      </c>
    </row>
    <row r="547" spans="1:18">
      <c r="B547" s="19" t="s">
        <v>4690</v>
      </c>
    </row>
    <row r="548" spans="1:18">
      <c r="B548" s="19" t="s">
        <v>4695</v>
      </c>
      <c r="F548" s="19" t="s">
        <v>67</v>
      </c>
    </row>
    <row r="549" spans="1:18">
      <c r="B549" s="19" t="s">
        <v>4696</v>
      </c>
      <c r="C549" s="19" t="s">
        <v>68</v>
      </c>
      <c r="D549" s="19" t="s">
        <v>4697</v>
      </c>
      <c r="E549" s="19" t="s">
        <v>4698</v>
      </c>
      <c r="F549" s="19" t="s">
        <v>4699</v>
      </c>
      <c r="I549" s="19" t="s">
        <v>4700</v>
      </c>
      <c r="K549" s="19" t="s">
        <v>4701</v>
      </c>
      <c r="M549" s="19" t="s">
        <v>4702</v>
      </c>
      <c r="P549" s="19" t="s">
        <v>4703</v>
      </c>
      <c r="Q549" s="19" t="s">
        <v>4704</v>
      </c>
      <c r="R549" s="19" t="s">
        <v>4705</v>
      </c>
    </row>
    <row r="550" spans="1:18">
      <c r="A550" s="19" t="s">
        <v>26</v>
      </c>
      <c r="B550" s="19" t="s">
        <v>4706</v>
      </c>
      <c r="C550" s="19" t="s">
        <v>68</v>
      </c>
      <c r="D550" s="19" t="s">
        <v>4707</v>
      </c>
      <c r="E550" s="19" t="s">
        <v>4708</v>
      </c>
      <c r="F550" s="19" t="s">
        <v>4709</v>
      </c>
      <c r="I550" s="19" t="s">
        <v>4710</v>
      </c>
      <c r="K550" s="19" t="s">
        <v>4711</v>
      </c>
      <c r="M550" s="19" t="s">
        <v>4712</v>
      </c>
      <c r="P550" s="19" t="s">
        <v>4713</v>
      </c>
      <c r="Q550" s="19" t="s">
        <v>4714</v>
      </c>
      <c r="R550" s="19" t="s">
        <v>4715</v>
      </c>
    </row>
    <row r="551" spans="1:18">
      <c r="A551" s="19" t="s">
        <v>26</v>
      </c>
      <c r="B551" s="19" t="s">
        <v>4716</v>
      </c>
      <c r="C551" s="19" t="s">
        <v>68</v>
      </c>
      <c r="D551" s="19" t="s">
        <v>4717</v>
      </c>
      <c r="E551" s="19" t="s">
        <v>4718</v>
      </c>
      <c r="F551" s="19" t="s">
        <v>4719</v>
      </c>
      <c r="I551" s="19" t="s">
        <v>4720</v>
      </c>
      <c r="K551" s="19" t="s">
        <v>4721</v>
      </c>
      <c r="M551" s="19" t="s">
        <v>4722</v>
      </c>
      <c r="P551" s="19" t="s">
        <v>4723</v>
      </c>
      <c r="Q551" s="19" t="s">
        <v>4724</v>
      </c>
      <c r="R551" s="19" t="s">
        <v>4725</v>
      </c>
    </row>
    <row r="552" spans="1:18">
      <c r="A552" s="19" t="s">
        <v>26</v>
      </c>
      <c r="B552" s="19" t="s">
        <v>4726</v>
      </c>
      <c r="C552" s="19" t="s">
        <v>68</v>
      </c>
      <c r="D552" s="19" t="s">
        <v>4727</v>
      </c>
      <c r="E552" s="19" t="s">
        <v>4728</v>
      </c>
      <c r="F552" s="19" t="s">
        <v>4729</v>
      </c>
      <c r="I552" s="19" t="s">
        <v>4730</v>
      </c>
      <c r="K552" s="19" t="s">
        <v>4731</v>
      </c>
      <c r="M552" s="19" t="s">
        <v>4732</v>
      </c>
      <c r="P552" s="19" t="s">
        <v>4733</v>
      </c>
      <c r="Q552" s="19" t="s">
        <v>4734</v>
      </c>
      <c r="R552" s="19" t="s">
        <v>4735</v>
      </c>
    </row>
    <row r="553" spans="1:18">
      <c r="A553" s="19" t="s">
        <v>26</v>
      </c>
      <c r="B553" s="19" t="s">
        <v>4736</v>
      </c>
      <c r="C553" s="19" t="s">
        <v>68</v>
      </c>
      <c r="D553" s="19" t="s">
        <v>4737</v>
      </c>
      <c r="E553" s="19" t="s">
        <v>4738</v>
      </c>
      <c r="F553" s="19" t="s">
        <v>4739</v>
      </c>
      <c r="I553" s="19" t="s">
        <v>4740</v>
      </c>
      <c r="K553" s="19" t="s">
        <v>4741</v>
      </c>
      <c r="M553" s="19" t="s">
        <v>4742</v>
      </c>
      <c r="P553" s="19" t="s">
        <v>4743</v>
      </c>
      <c r="Q553" s="19" t="s">
        <v>4744</v>
      </c>
      <c r="R553" s="19" t="s">
        <v>4745</v>
      </c>
    </row>
    <row r="554" spans="1:18">
      <c r="A554" s="19" t="s">
        <v>26</v>
      </c>
      <c r="B554" s="19" t="s">
        <v>4746</v>
      </c>
      <c r="C554" s="19" t="s">
        <v>68</v>
      </c>
      <c r="D554" s="19" t="s">
        <v>4747</v>
      </c>
      <c r="E554" s="19" t="s">
        <v>4748</v>
      </c>
      <c r="F554" s="19" t="s">
        <v>4749</v>
      </c>
      <c r="I554" s="19" t="s">
        <v>4750</v>
      </c>
      <c r="K554" s="19" t="s">
        <v>4751</v>
      </c>
      <c r="M554" s="19" t="s">
        <v>4752</v>
      </c>
      <c r="P554" s="19" t="s">
        <v>4753</v>
      </c>
      <c r="Q554" s="19" t="s">
        <v>4754</v>
      </c>
      <c r="R554" s="19" t="s">
        <v>4755</v>
      </c>
    </row>
    <row r="555" spans="1:18">
      <c r="A555" s="19" t="s">
        <v>26</v>
      </c>
      <c r="B555" s="19" t="s">
        <v>4756</v>
      </c>
      <c r="C555" s="19" t="s">
        <v>68</v>
      </c>
      <c r="D555" s="19" t="s">
        <v>4757</v>
      </c>
      <c r="E555" s="19" t="s">
        <v>4758</v>
      </c>
      <c r="F555" s="19" t="s">
        <v>4759</v>
      </c>
      <c r="I555" s="19" t="s">
        <v>4760</v>
      </c>
      <c r="K555" s="19" t="s">
        <v>4761</v>
      </c>
      <c r="M555" s="19" t="s">
        <v>4762</v>
      </c>
      <c r="P555" s="19" t="s">
        <v>4763</v>
      </c>
      <c r="Q555" s="19" t="s">
        <v>4764</v>
      </c>
      <c r="R555" s="19" t="s">
        <v>4765</v>
      </c>
    </row>
    <row r="556" spans="1:18">
      <c r="A556" s="19" t="s">
        <v>26</v>
      </c>
      <c r="B556" s="19" t="s">
        <v>4766</v>
      </c>
      <c r="C556" s="19" t="s">
        <v>68</v>
      </c>
      <c r="D556" s="19" t="s">
        <v>4767</v>
      </c>
      <c r="E556" s="19" t="s">
        <v>4768</v>
      </c>
      <c r="F556" s="19" t="s">
        <v>4769</v>
      </c>
      <c r="I556" s="19" t="s">
        <v>4770</v>
      </c>
      <c r="K556" s="19" t="s">
        <v>4771</v>
      </c>
      <c r="M556" s="19" t="s">
        <v>4772</v>
      </c>
      <c r="P556" s="19" t="s">
        <v>4773</v>
      </c>
      <c r="Q556" s="19" t="s">
        <v>4774</v>
      </c>
      <c r="R556" s="19" t="s">
        <v>4775</v>
      </c>
    </row>
    <row r="557" spans="1:18">
      <c r="A557" s="19" t="s">
        <v>26</v>
      </c>
      <c r="B557" s="19" t="s">
        <v>4776</v>
      </c>
      <c r="C557" s="19" t="s">
        <v>68</v>
      </c>
      <c r="D557" s="19" t="s">
        <v>4777</v>
      </c>
      <c r="E557" s="19" t="s">
        <v>4778</v>
      </c>
      <c r="F557" s="19" t="s">
        <v>4779</v>
      </c>
      <c r="I557" s="19" t="s">
        <v>4780</v>
      </c>
      <c r="K557" s="19" t="s">
        <v>4781</v>
      </c>
      <c r="M557" s="19" t="s">
        <v>4782</v>
      </c>
      <c r="P557" s="19" t="s">
        <v>4783</v>
      </c>
      <c r="Q557" s="19" t="s">
        <v>4784</v>
      </c>
      <c r="R557" s="19" t="s">
        <v>4785</v>
      </c>
    </row>
    <row r="558" spans="1:18">
      <c r="A558" s="19" t="s">
        <v>26</v>
      </c>
      <c r="B558" s="19" t="s">
        <v>4786</v>
      </c>
      <c r="C558" s="19" t="s">
        <v>68</v>
      </c>
      <c r="D558" s="19" t="s">
        <v>4787</v>
      </c>
      <c r="E558" s="19" t="s">
        <v>4788</v>
      </c>
      <c r="F558" s="19" t="s">
        <v>4789</v>
      </c>
      <c r="I558" s="19" t="s">
        <v>4790</v>
      </c>
      <c r="K558" s="19" t="s">
        <v>4791</v>
      </c>
      <c r="M558" s="19" t="s">
        <v>4792</v>
      </c>
      <c r="P558" s="19" t="s">
        <v>4793</v>
      </c>
      <c r="Q558" s="19" t="s">
        <v>4794</v>
      </c>
      <c r="R558" s="19" t="s">
        <v>4795</v>
      </c>
    </row>
    <row r="559" spans="1:18">
      <c r="A559" s="19" t="s">
        <v>26</v>
      </c>
      <c r="B559" s="19" t="s">
        <v>4796</v>
      </c>
      <c r="C559" s="19" t="s">
        <v>68</v>
      </c>
      <c r="D559" s="19" t="s">
        <v>4797</v>
      </c>
      <c r="E559" s="19" t="s">
        <v>4798</v>
      </c>
      <c r="F559" s="19" t="s">
        <v>4799</v>
      </c>
      <c r="I559" s="19" t="s">
        <v>4800</v>
      </c>
      <c r="K559" s="19" t="s">
        <v>4801</v>
      </c>
      <c r="M559" s="19" t="s">
        <v>4802</v>
      </c>
      <c r="P559" s="19" t="s">
        <v>4803</v>
      </c>
      <c r="Q559" s="19" t="s">
        <v>4804</v>
      </c>
      <c r="R559" s="19" t="s">
        <v>4805</v>
      </c>
    </row>
    <row r="560" spans="1:18">
      <c r="A560" s="19" t="s">
        <v>26</v>
      </c>
      <c r="B560" s="19" t="s">
        <v>4806</v>
      </c>
      <c r="C560" s="19" t="s">
        <v>68</v>
      </c>
      <c r="D560" s="19" t="s">
        <v>4807</v>
      </c>
      <c r="E560" s="19" t="s">
        <v>4808</v>
      </c>
      <c r="F560" s="19" t="s">
        <v>4809</v>
      </c>
      <c r="I560" s="19" t="s">
        <v>4810</v>
      </c>
      <c r="K560" s="19" t="s">
        <v>4811</v>
      </c>
      <c r="M560" s="19" t="s">
        <v>4812</v>
      </c>
      <c r="P560" s="19" t="s">
        <v>4813</v>
      </c>
      <c r="Q560" s="19" t="s">
        <v>4814</v>
      </c>
      <c r="R560" s="19" t="s">
        <v>4815</v>
      </c>
    </row>
    <row r="561" spans="1:18">
      <c r="A561" s="19" t="s">
        <v>26</v>
      </c>
      <c r="B561" s="19" t="s">
        <v>4816</v>
      </c>
      <c r="C561" s="19" t="s">
        <v>68</v>
      </c>
      <c r="D561" s="19" t="s">
        <v>4817</v>
      </c>
      <c r="E561" s="19" t="s">
        <v>4818</v>
      </c>
      <c r="F561" s="19" t="s">
        <v>4819</v>
      </c>
      <c r="I561" s="19" t="s">
        <v>4820</v>
      </c>
      <c r="K561" s="19" t="s">
        <v>4821</v>
      </c>
      <c r="M561" s="19" t="s">
        <v>4822</v>
      </c>
      <c r="P561" s="19" t="s">
        <v>4823</v>
      </c>
      <c r="Q561" s="19" t="s">
        <v>4824</v>
      </c>
      <c r="R561" s="19" t="s">
        <v>4825</v>
      </c>
    </row>
    <row r="562" spans="1:18">
      <c r="A562" s="19" t="s">
        <v>26</v>
      </c>
      <c r="B562" s="19" t="s">
        <v>4826</v>
      </c>
      <c r="C562" s="19" t="s">
        <v>68</v>
      </c>
      <c r="D562" s="19" t="s">
        <v>4827</v>
      </c>
      <c r="E562" s="19" t="s">
        <v>4828</v>
      </c>
      <c r="F562" s="19" t="s">
        <v>4829</v>
      </c>
      <c r="I562" s="19" t="s">
        <v>4830</v>
      </c>
      <c r="K562" s="19" t="s">
        <v>4831</v>
      </c>
      <c r="M562" s="19" t="s">
        <v>4832</v>
      </c>
      <c r="P562" s="19" t="s">
        <v>4833</v>
      </c>
      <c r="Q562" s="19" t="s">
        <v>4834</v>
      </c>
      <c r="R562" s="19" t="s">
        <v>4835</v>
      </c>
    </row>
    <row r="563" spans="1:18">
      <c r="A563" s="19" t="s">
        <v>26</v>
      </c>
      <c r="B563" s="19" t="s">
        <v>4836</v>
      </c>
      <c r="C563" s="19" t="s">
        <v>68</v>
      </c>
      <c r="D563" s="19" t="s">
        <v>4837</v>
      </c>
      <c r="E563" s="19" t="s">
        <v>4838</v>
      </c>
      <c r="F563" s="19" t="s">
        <v>4839</v>
      </c>
      <c r="I563" s="19" t="s">
        <v>4840</v>
      </c>
      <c r="K563" s="19" t="s">
        <v>4841</v>
      </c>
      <c r="M563" s="19" t="s">
        <v>4842</v>
      </c>
      <c r="P563" s="19" t="s">
        <v>4843</v>
      </c>
      <c r="Q563" s="19" t="s">
        <v>4844</v>
      </c>
      <c r="R563" s="19" t="s">
        <v>4845</v>
      </c>
    </row>
    <row r="564" spans="1:18">
      <c r="A564" s="19" t="s">
        <v>26</v>
      </c>
      <c r="B564" s="19" t="s">
        <v>4846</v>
      </c>
      <c r="C564" s="19" t="s">
        <v>68</v>
      </c>
      <c r="D564" s="19" t="s">
        <v>4847</v>
      </c>
      <c r="E564" s="19" t="s">
        <v>4848</v>
      </c>
      <c r="F564" s="19" t="s">
        <v>4849</v>
      </c>
      <c r="I564" s="19" t="s">
        <v>4850</v>
      </c>
      <c r="K564" s="19" t="s">
        <v>4851</v>
      </c>
      <c r="M564" s="19" t="s">
        <v>4852</v>
      </c>
      <c r="P564" s="19" t="s">
        <v>4853</v>
      </c>
      <c r="Q564" s="19" t="s">
        <v>4854</v>
      </c>
      <c r="R564" s="19" t="s">
        <v>4855</v>
      </c>
    </row>
    <row r="565" spans="1:18">
      <c r="A565" s="19" t="s">
        <v>26</v>
      </c>
      <c r="B565" s="19" t="s">
        <v>4856</v>
      </c>
      <c r="C565" s="19" t="s">
        <v>68</v>
      </c>
      <c r="D565" s="19" t="s">
        <v>4857</v>
      </c>
      <c r="E565" s="19" t="s">
        <v>4858</v>
      </c>
      <c r="F565" s="19" t="s">
        <v>4859</v>
      </c>
      <c r="I565" s="19" t="s">
        <v>4860</v>
      </c>
      <c r="K565" s="19" t="s">
        <v>4861</v>
      </c>
      <c r="M565" s="19" t="s">
        <v>4862</v>
      </c>
      <c r="P565" s="19" t="s">
        <v>4863</v>
      </c>
      <c r="Q565" s="19" t="s">
        <v>4864</v>
      </c>
      <c r="R565" s="19" t="s">
        <v>4865</v>
      </c>
    </row>
    <row r="566" spans="1:18">
      <c r="A566" s="19" t="s">
        <v>26</v>
      </c>
      <c r="B566" s="19" t="s">
        <v>4866</v>
      </c>
      <c r="C566" s="19" t="s">
        <v>68</v>
      </c>
      <c r="D566" s="19" t="s">
        <v>4867</v>
      </c>
      <c r="E566" s="19" t="s">
        <v>4868</v>
      </c>
      <c r="F566" s="19" t="s">
        <v>4869</v>
      </c>
      <c r="I566" s="19" t="s">
        <v>4870</v>
      </c>
      <c r="K566" s="19" t="s">
        <v>4871</v>
      </c>
      <c r="M566" s="19" t="s">
        <v>4872</v>
      </c>
      <c r="P566" s="19" t="s">
        <v>4873</v>
      </c>
      <c r="Q566" s="19" t="s">
        <v>4874</v>
      </c>
      <c r="R566" s="19" t="s">
        <v>4875</v>
      </c>
    </row>
    <row r="567" spans="1:18">
      <c r="A567" s="19" t="s">
        <v>26</v>
      </c>
      <c r="B567" s="19" t="s">
        <v>4876</v>
      </c>
      <c r="C567" s="19" t="s">
        <v>68</v>
      </c>
      <c r="D567" s="19" t="s">
        <v>4877</v>
      </c>
      <c r="E567" s="19" t="s">
        <v>4878</v>
      </c>
      <c r="F567" s="19" t="s">
        <v>4879</v>
      </c>
      <c r="I567" s="19" t="s">
        <v>4880</v>
      </c>
      <c r="K567" s="19" t="s">
        <v>4881</v>
      </c>
      <c r="M567" s="19" t="s">
        <v>4882</v>
      </c>
      <c r="P567" s="19" t="s">
        <v>4883</v>
      </c>
      <c r="Q567" s="19" t="s">
        <v>4884</v>
      </c>
      <c r="R567" s="19" t="s">
        <v>4885</v>
      </c>
    </row>
    <row r="568" spans="1:18">
      <c r="A568" s="19" t="s">
        <v>26</v>
      </c>
      <c r="B568" s="19" t="s">
        <v>4886</v>
      </c>
      <c r="C568" s="19" t="s">
        <v>68</v>
      </c>
      <c r="D568" s="19" t="s">
        <v>4887</v>
      </c>
      <c r="E568" s="19" t="s">
        <v>4888</v>
      </c>
      <c r="F568" s="19" t="s">
        <v>4889</v>
      </c>
      <c r="I568" s="19" t="s">
        <v>4890</v>
      </c>
      <c r="K568" s="19" t="s">
        <v>4891</v>
      </c>
      <c r="M568" s="19" t="s">
        <v>4892</v>
      </c>
      <c r="P568" s="19" t="s">
        <v>4893</v>
      </c>
      <c r="Q568" s="19" t="s">
        <v>4894</v>
      </c>
      <c r="R568" s="19" t="s">
        <v>4895</v>
      </c>
    </row>
    <row r="569" spans="1:18">
      <c r="A569" s="19" t="s">
        <v>26</v>
      </c>
      <c r="B569" s="19" t="s">
        <v>4896</v>
      </c>
      <c r="C569" s="19" t="s">
        <v>68</v>
      </c>
      <c r="D569" s="19" t="s">
        <v>4897</v>
      </c>
      <c r="E569" s="19" t="s">
        <v>4898</v>
      </c>
      <c r="F569" s="19" t="s">
        <v>4899</v>
      </c>
      <c r="I569" s="19" t="s">
        <v>4900</v>
      </c>
      <c r="K569" s="19" t="s">
        <v>4901</v>
      </c>
      <c r="M569" s="19" t="s">
        <v>4902</v>
      </c>
      <c r="P569" s="19" t="s">
        <v>4903</v>
      </c>
      <c r="Q569" s="19" t="s">
        <v>4904</v>
      </c>
      <c r="R569" s="19" t="s">
        <v>4905</v>
      </c>
    </row>
    <row r="570" spans="1:18">
      <c r="A570" s="19" t="s">
        <v>26</v>
      </c>
      <c r="B570" s="19" t="s">
        <v>4906</v>
      </c>
      <c r="C570" s="19" t="s">
        <v>68</v>
      </c>
      <c r="D570" s="19" t="s">
        <v>4907</v>
      </c>
      <c r="E570" s="19" t="s">
        <v>4908</v>
      </c>
      <c r="F570" s="19" t="s">
        <v>4909</v>
      </c>
      <c r="I570" s="19" t="s">
        <v>4910</v>
      </c>
      <c r="K570" s="19" t="s">
        <v>4911</v>
      </c>
      <c r="M570" s="19" t="s">
        <v>4912</v>
      </c>
      <c r="P570" s="19" t="s">
        <v>4913</v>
      </c>
      <c r="Q570" s="19" t="s">
        <v>4914</v>
      </c>
      <c r="R570" s="19" t="s">
        <v>4915</v>
      </c>
    </row>
    <row r="571" spans="1:18">
      <c r="A571" s="19" t="s">
        <v>26</v>
      </c>
      <c r="B571" s="19" t="s">
        <v>4916</v>
      </c>
      <c r="C571" s="19" t="s">
        <v>68</v>
      </c>
      <c r="D571" s="19" t="s">
        <v>4917</v>
      </c>
      <c r="E571" s="19" t="s">
        <v>4918</v>
      </c>
      <c r="F571" s="19" t="s">
        <v>4919</v>
      </c>
      <c r="I571" s="19" t="s">
        <v>4920</v>
      </c>
      <c r="K571" s="19" t="s">
        <v>4921</v>
      </c>
      <c r="M571" s="19" t="s">
        <v>4922</v>
      </c>
      <c r="P571" s="19" t="s">
        <v>4923</v>
      </c>
      <c r="Q571" s="19" t="s">
        <v>4924</v>
      </c>
      <c r="R571" s="19" t="s">
        <v>4925</v>
      </c>
    </row>
    <row r="572" spans="1:18">
      <c r="A572" s="19" t="s">
        <v>26</v>
      </c>
      <c r="B572" s="19" t="s">
        <v>4926</v>
      </c>
      <c r="C572" s="19" t="s">
        <v>68</v>
      </c>
      <c r="D572" s="19" t="s">
        <v>4927</v>
      </c>
      <c r="E572" s="19" t="s">
        <v>4928</v>
      </c>
      <c r="F572" s="19" t="s">
        <v>4929</v>
      </c>
      <c r="I572" s="19" t="s">
        <v>4930</v>
      </c>
      <c r="K572" s="19" t="s">
        <v>4931</v>
      </c>
      <c r="M572" s="19" t="s">
        <v>4932</v>
      </c>
      <c r="P572" s="19" t="s">
        <v>4933</v>
      </c>
      <c r="Q572" s="19" t="s">
        <v>4934</v>
      </c>
      <c r="R572" s="19" t="s">
        <v>4935</v>
      </c>
    </row>
    <row r="573" spans="1:18">
      <c r="A573" s="19" t="s">
        <v>26</v>
      </c>
      <c r="B573" s="19" t="s">
        <v>4936</v>
      </c>
      <c r="C573" s="19" t="s">
        <v>68</v>
      </c>
      <c r="D573" s="19" t="s">
        <v>4937</v>
      </c>
      <c r="E573" s="19" t="s">
        <v>4938</v>
      </c>
      <c r="F573" s="19" t="s">
        <v>4939</v>
      </c>
      <c r="I573" s="19" t="s">
        <v>4940</v>
      </c>
      <c r="K573" s="19" t="s">
        <v>4941</v>
      </c>
      <c r="M573" s="19" t="s">
        <v>4942</v>
      </c>
      <c r="P573" s="19" t="s">
        <v>4943</v>
      </c>
      <c r="Q573" s="19" t="s">
        <v>4944</v>
      </c>
      <c r="R573" s="19" t="s">
        <v>4945</v>
      </c>
    </row>
    <row r="574" spans="1:18">
      <c r="A574" s="19" t="s">
        <v>26</v>
      </c>
      <c r="B574" s="19" t="s">
        <v>4946</v>
      </c>
      <c r="C574" s="19" t="s">
        <v>68</v>
      </c>
      <c r="D574" s="19" t="s">
        <v>4947</v>
      </c>
      <c r="E574" s="19" t="s">
        <v>4948</v>
      </c>
      <c r="F574" s="19" t="s">
        <v>4949</v>
      </c>
      <c r="I574" s="19" t="s">
        <v>4950</v>
      </c>
      <c r="K574" s="19" t="s">
        <v>4951</v>
      </c>
      <c r="M574" s="19" t="s">
        <v>4952</v>
      </c>
      <c r="P574" s="19" t="s">
        <v>4953</v>
      </c>
      <c r="Q574" s="19" t="s">
        <v>4954</v>
      </c>
      <c r="R574" s="19" t="s">
        <v>4955</v>
      </c>
    </row>
    <row r="575" spans="1:18">
      <c r="A575" s="19" t="s">
        <v>26</v>
      </c>
      <c r="B575" s="19" t="s">
        <v>4956</v>
      </c>
      <c r="C575" s="19" t="s">
        <v>68</v>
      </c>
      <c r="D575" s="19" t="s">
        <v>4957</v>
      </c>
      <c r="E575" s="19" t="s">
        <v>4958</v>
      </c>
      <c r="F575" s="19" t="s">
        <v>4959</v>
      </c>
      <c r="I575" s="19" t="s">
        <v>4960</v>
      </c>
      <c r="K575" s="19" t="s">
        <v>4961</v>
      </c>
      <c r="M575" s="19" t="s">
        <v>4962</v>
      </c>
      <c r="P575" s="19" t="s">
        <v>4963</v>
      </c>
      <c r="Q575" s="19" t="s">
        <v>4964</v>
      </c>
      <c r="R575" s="19" t="s">
        <v>4965</v>
      </c>
    </row>
    <row r="576" spans="1:18">
      <c r="A576" s="19" t="s">
        <v>26</v>
      </c>
      <c r="B576" s="19" t="s">
        <v>4966</v>
      </c>
      <c r="C576" s="19" t="s">
        <v>68</v>
      </c>
      <c r="D576" s="19" t="s">
        <v>4967</v>
      </c>
      <c r="E576" s="19" t="s">
        <v>4968</v>
      </c>
      <c r="F576" s="19" t="s">
        <v>4969</v>
      </c>
      <c r="I576" s="19" t="s">
        <v>4970</v>
      </c>
      <c r="K576" s="19" t="s">
        <v>4971</v>
      </c>
      <c r="M576" s="19" t="s">
        <v>4972</v>
      </c>
      <c r="P576" s="19" t="s">
        <v>4973</v>
      </c>
      <c r="Q576" s="19" t="s">
        <v>4974</v>
      </c>
      <c r="R576" s="19" t="s">
        <v>4975</v>
      </c>
    </row>
    <row r="577" spans="1:18">
      <c r="A577" s="19" t="s">
        <v>26</v>
      </c>
      <c r="B577" s="19" t="s">
        <v>4976</v>
      </c>
      <c r="C577" s="19" t="s">
        <v>68</v>
      </c>
      <c r="D577" s="19" t="s">
        <v>4977</v>
      </c>
      <c r="E577" s="19" t="s">
        <v>4978</v>
      </c>
      <c r="F577" s="19" t="s">
        <v>4979</v>
      </c>
      <c r="I577" s="19" t="s">
        <v>4980</v>
      </c>
      <c r="K577" s="19" t="s">
        <v>4981</v>
      </c>
      <c r="M577" s="19" t="s">
        <v>4982</v>
      </c>
      <c r="P577" s="19" t="s">
        <v>4983</v>
      </c>
      <c r="Q577" s="19" t="s">
        <v>4984</v>
      </c>
      <c r="R577" s="19" t="s">
        <v>4985</v>
      </c>
    </row>
    <row r="578" spans="1:18">
      <c r="A578" s="19" t="s">
        <v>26</v>
      </c>
      <c r="B578" s="19" t="s">
        <v>4986</v>
      </c>
      <c r="C578" s="19" t="s">
        <v>68</v>
      </c>
      <c r="D578" s="19" t="s">
        <v>4987</v>
      </c>
      <c r="E578" s="19" t="s">
        <v>4988</v>
      </c>
      <c r="F578" s="19" t="s">
        <v>4989</v>
      </c>
      <c r="I578" s="19" t="s">
        <v>4990</v>
      </c>
      <c r="K578" s="19" t="s">
        <v>4991</v>
      </c>
      <c r="M578" s="19" t="s">
        <v>4992</v>
      </c>
      <c r="P578" s="19" t="s">
        <v>4993</v>
      </c>
      <c r="Q578" s="19" t="s">
        <v>4994</v>
      </c>
      <c r="R578" s="19" t="s">
        <v>4995</v>
      </c>
    </row>
    <row r="579" spans="1:18">
      <c r="A579" s="19" t="s">
        <v>26</v>
      </c>
      <c r="B579" s="19" t="s">
        <v>4996</v>
      </c>
      <c r="C579" s="19" t="s">
        <v>68</v>
      </c>
      <c r="D579" s="19" t="s">
        <v>4997</v>
      </c>
      <c r="E579" s="19" t="s">
        <v>4998</v>
      </c>
      <c r="F579" s="19" t="s">
        <v>4999</v>
      </c>
      <c r="I579" s="19" t="s">
        <v>5000</v>
      </c>
      <c r="K579" s="19" t="s">
        <v>5001</v>
      </c>
      <c r="M579" s="19" t="s">
        <v>5002</v>
      </c>
      <c r="P579" s="19" t="s">
        <v>5003</v>
      </c>
      <c r="Q579" s="19" t="s">
        <v>5004</v>
      </c>
      <c r="R579" s="19" t="s">
        <v>5005</v>
      </c>
    </row>
    <row r="580" spans="1:18">
      <c r="A580" s="19" t="s">
        <v>26</v>
      </c>
      <c r="B580" s="19" t="s">
        <v>5006</v>
      </c>
      <c r="C580" s="19" t="s">
        <v>68</v>
      </c>
      <c r="D580" s="19" t="s">
        <v>5007</v>
      </c>
      <c r="E580" s="19" t="s">
        <v>5008</v>
      </c>
      <c r="F580" s="19" t="s">
        <v>5009</v>
      </c>
      <c r="I580" s="19" t="s">
        <v>5010</v>
      </c>
      <c r="K580" s="19" t="s">
        <v>5011</v>
      </c>
      <c r="M580" s="19" t="s">
        <v>5012</v>
      </c>
      <c r="P580" s="19" t="s">
        <v>5013</v>
      </c>
      <c r="Q580" s="19" t="s">
        <v>5014</v>
      </c>
      <c r="R580" s="19" t="s">
        <v>5015</v>
      </c>
    </row>
    <row r="581" spans="1:18">
      <c r="A581" s="19" t="s">
        <v>26</v>
      </c>
      <c r="B581" s="19" t="s">
        <v>5016</v>
      </c>
      <c r="C581" s="19" t="s">
        <v>68</v>
      </c>
      <c r="D581" s="19" t="s">
        <v>5017</v>
      </c>
      <c r="E581" s="19" t="s">
        <v>5018</v>
      </c>
      <c r="F581" s="19" t="s">
        <v>5019</v>
      </c>
      <c r="I581" s="19" t="s">
        <v>5020</v>
      </c>
      <c r="K581" s="19" t="s">
        <v>5021</v>
      </c>
      <c r="M581" s="19" t="s">
        <v>5022</v>
      </c>
      <c r="P581" s="19" t="s">
        <v>5023</v>
      </c>
      <c r="Q581" s="19" t="s">
        <v>5024</v>
      </c>
      <c r="R581" s="19" t="s">
        <v>5025</v>
      </c>
    </row>
    <row r="582" spans="1:18">
      <c r="A582" s="19" t="s">
        <v>26</v>
      </c>
      <c r="B582" s="19" t="s">
        <v>5026</v>
      </c>
      <c r="C582" s="19" t="s">
        <v>68</v>
      </c>
      <c r="D582" s="19" t="s">
        <v>5027</v>
      </c>
      <c r="E582" s="19" t="s">
        <v>5028</v>
      </c>
      <c r="F582" s="19" t="s">
        <v>5029</v>
      </c>
      <c r="I582" s="19" t="s">
        <v>5030</v>
      </c>
      <c r="K582" s="19" t="s">
        <v>5031</v>
      </c>
      <c r="M582" s="19" t="s">
        <v>5032</v>
      </c>
      <c r="P582" s="19" t="s">
        <v>5033</v>
      </c>
      <c r="Q582" s="19" t="s">
        <v>5034</v>
      </c>
      <c r="R582" s="19" t="s">
        <v>5035</v>
      </c>
    </row>
    <row r="583" spans="1:18">
      <c r="A583" s="19" t="s">
        <v>26</v>
      </c>
      <c r="B583" s="19" t="s">
        <v>5036</v>
      </c>
      <c r="C583" s="19" t="s">
        <v>68</v>
      </c>
      <c r="D583" s="19" t="s">
        <v>5037</v>
      </c>
      <c r="E583" s="19" t="s">
        <v>5038</v>
      </c>
      <c r="F583" s="19" t="s">
        <v>5039</v>
      </c>
      <c r="I583" s="19" t="s">
        <v>5040</v>
      </c>
      <c r="K583" s="19" t="s">
        <v>5041</v>
      </c>
      <c r="M583" s="19" t="s">
        <v>5042</v>
      </c>
      <c r="P583" s="19" t="s">
        <v>5043</v>
      </c>
      <c r="Q583" s="19" t="s">
        <v>5044</v>
      </c>
      <c r="R583" s="19" t="s">
        <v>5045</v>
      </c>
    </row>
    <row r="584" spans="1:18">
      <c r="A584" s="19" t="s">
        <v>26</v>
      </c>
      <c r="B584" s="19" t="s">
        <v>5046</v>
      </c>
      <c r="C584" s="19" t="s">
        <v>68</v>
      </c>
      <c r="D584" s="19" t="s">
        <v>5047</v>
      </c>
      <c r="E584" s="19" t="s">
        <v>5048</v>
      </c>
      <c r="F584" s="19" t="s">
        <v>5049</v>
      </c>
      <c r="I584" s="19" t="s">
        <v>5050</v>
      </c>
      <c r="K584" s="19" t="s">
        <v>5051</v>
      </c>
      <c r="M584" s="19" t="s">
        <v>5052</v>
      </c>
      <c r="P584" s="19" t="s">
        <v>5053</v>
      </c>
      <c r="Q584" s="19" t="s">
        <v>5054</v>
      </c>
      <c r="R584" s="19" t="s">
        <v>5055</v>
      </c>
    </row>
    <row r="585" spans="1:18">
      <c r="A585" s="19" t="s">
        <v>26</v>
      </c>
      <c r="B585" s="19" t="s">
        <v>5056</v>
      </c>
      <c r="C585" s="19" t="s">
        <v>68</v>
      </c>
      <c r="D585" s="19" t="s">
        <v>5057</v>
      </c>
      <c r="E585" s="19" t="s">
        <v>5058</v>
      </c>
      <c r="F585" s="19" t="s">
        <v>5059</v>
      </c>
      <c r="I585" s="19" t="s">
        <v>5060</v>
      </c>
      <c r="K585" s="19" t="s">
        <v>5061</v>
      </c>
      <c r="M585" s="19" t="s">
        <v>5062</v>
      </c>
      <c r="P585" s="19" t="s">
        <v>5063</v>
      </c>
      <c r="Q585" s="19" t="s">
        <v>5064</v>
      </c>
      <c r="R585" s="19" t="s">
        <v>5065</v>
      </c>
    </row>
    <row r="586" spans="1:18">
      <c r="A586" s="19" t="s">
        <v>26</v>
      </c>
      <c r="B586" s="19" t="s">
        <v>5066</v>
      </c>
      <c r="C586" s="19" t="s">
        <v>68</v>
      </c>
      <c r="D586" s="19" t="s">
        <v>5067</v>
      </c>
      <c r="E586" s="19" t="s">
        <v>5068</v>
      </c>
      <c r="F586" s="19" t="s">
        <v>5069</v>
      </c>
      <c r="I586" s="19" t="s">
        <v>5070</v>
      </c>
      <c r="K586" s="19" t="s">
        <v>5071</v>
      </c>
      <c r="M586" s="19" t="s">
        <v>5072</v>
      </c>
      <c r="P586" s="19" t="s">
        <v>5073</v>
      </c>
      <c r="Q586" s="19" t="s">
        <v>5074</v>
      </c>
      <c r="R586" s="19" t="s">
        <v>5075</v>
      </c>
    </row>
    <row r="587" spans="1:18">
      <c r="A587" s="19" t="s">
        <v>26</v>
      </c>
      <c r="B587" s="19" t="s">
        <v>5076</v>
      </c>
      <c r="C587" s="19" t="s">
        <v>68</v>
      </c>
      <c r="D587" s="19" t="s">
        <v>5077</v>
      </c>
      <c r="E587" s="19" t="s">
        <v>5078</v>
      </c>
      <c r="F587" s="19" t="s">
        <v>5079</v>
      </c>
      <c r="I587" s="19" t="s">
        <v>5080</v>
      </c>
      <c r="K587" s="19" t="s">
        <v>5081</v>
      </c>
      <c r="M587" s="19" t="s">
        <v>5082</v>
      </c>
      <c r="P587" s="19" t="s">
        <v>5083</v>
      </c>
      <c r="Q587" s="19" t="s">
        <v>5084</v>
      </c>
      <c r="R587" s="19" t="s">
        <v>5085</v>
      </c>
    </row>
    <row r="588" spans="1:18">
      <c r="A588" s="19" t="s">
        <v>26</v>
      </c>
      <c r="B588" s="19" t="s">
        <v>5086</v>
      </c>
      <c r="C588" s="19" t="s">
        <v>68</v>
      </c>
      <c r="D588" s="19" t="s">
        <v>5087</v>
      </c>
      <c r="E588" s="19" t="s">
        <v>5088</v>
      </c>
      <c r="F588" s="19" t="s">
        <v>5089</v>
      </c>
      <c r="I588" s="19" t="s">
        <v>5090</v>
      </c>
      <c r="K588" s="19" t="s">
        <v>5091</v>
      </c>
      <c r="M588" s="19" t="s">
        <v>5092</v>
      </c>
      <c r="P588" s="19" t="s">
        <v>5093</v>
      </c>
      <c r="Q588" s="19" t="s">
        <v>5094</v>
      </c>
      <c r="R588" s="19" t="s">
        <v>5095</v>
      </c>
    </row>
    <row r="589" spans="1:18">
      <c r="A589" s="19" t="s">
        <v>26</v>
      </c>
      <c r="B589" s="19" t="s">
        <v>5096</v>
      </c>
      <c r="C589" s="19" t="s">
        <v>68</v>
      </c>
      <c r="D589" s="19" t="s">
        <v>5097</v>
      </c>
      <c r="E589" s="19" t="s">
        <v>5098</v>
      </c>
      <c r="F589" s="19" t="s">
        <v>5099</v>
      </c>
      <c r="I589" s="19" t="s">
        <v>5100</v>
      </c>
      <c r="K589" s="19" t="s">
        <v>5101</v>
      </c>
      <c r="M589" s="19" t="s">
        <v>5102</v>
      </c>
      <c r="P589" s="19" t="s">
        <v>5103</v>
      </c>
      <c r="Q589" s="19" t="s">
        <v>5104</v>
      </c>
      <c r="R589" s="19" t="s">
        <v>5105</v>
      </c>
    </row>
    <row r="590" spans="1:18">
      <c r="A590" s="19" t="s">
        <v>26</v>
      </c>
      <c r="B590" s="19" t="s">
        <v>5106</v>
      </c>
      <c r="C590" s="19" t="s">
        <v>68</v>
      </c>
      <c r="D590" s="19" t="s">
        <v>5107</v>
      </c>
      <c r="E590" s="19" t="s">
        <v>5108</v>
      </c>
      <c r="F590" s="19" t="s">
        <v>5109</v>
      </c>
      <c r="I590" s="19" t="s">
        <v>5110</v>
      </c>
      <c r="K590" s="19" t="s">
        <v>5111</v>
      </c>
      <c r="M590" s="19" t="s">
        <v>5112</v>
      </c>
      <c r="P590" s="19" t="s">
        <v>5113</v>
      </c>
      <c r="Q590" s="19" t="s">
        <v>5114</v>
      </c>
      <c r="R590" s="19" t="s">
        <v>5115</v>
      </c>
    </row>
    <row r="591" spans="1:18">
      <c r="A591" s="19" t="s">
        <v>26</v>
      </c>
      <c r="B591" s="19" t="s">
        <v>5116</v>
      </c>
      <c r="C591" s="19" t="s">
        <v>68</v>
      </c>
      <c r="D591" s="19" t="s">
        <v>5117</v>
      </c>
      <c r="E591" s="19" t="s">
        <v>5118</v>
      </c>
      <c r="F591" s="19" t="s">
        <v>5119</v>
      </c>
      <c r="I591" s="19" t="s">
        <v>5120</v>
      </c>
      <c r="K591" s="19" t="s">
        <v>5121</v>
      </c>
      <c r="M591" s="19" t="s">
        <v>5122</v>
      </c>
      <c r="P591" s="19" t="s">
        <v>5123</v>
      </c>
      <c r="Q591" s="19" t="s">
        <v>5124</v>
      </c>
      <c r="R591" s="19" t="s">
        <v>5125</v>
      </c>
    </row>
    <row r="592" spans="1:18">
      <c r="A592" s="19" t="s">
        <v>26</v>
      </c>
      <c r="B592" s="19" t="s">
        <v>5126</v>
      </c>
      <c r="C592" s="19" t="s">
        <v>68</v>
      </c>
      <c r="D592" s="19" t="s">
        <v>5127</v>
      </c>
      <c r="E592" s="19" t="s">
        <v>5128</v>
      </c>
      <c r="F592" s="19" t="s">
        <v>5129</v>
      </c>
      <c r="I592" s="19" t="s">
        <v>5130</v>
      </c>
      <c r="K592" s="19" t="s">
        <v>5131</v>
      </c>
      <c r="M592" s="19" t="s">
        <v>5132</v>
      </c>
      <c r="P592" s="19" t="s">
        <v>5133</v>
      </c>
      <c r="Q592" s="19" t="s">
        <v>5134</v>
      </c>
      <c r="R592" s="19" t="s">
        <v>5135</v>
      </c>
    </row>
    <row r="593" spans="1:18">
      <c r="A593" s="19" t="s">
        <v>26</v>
      </c>
      <c r="B593" s="19" t="s">
        <v>5136</v>
      </c>
      <c r="C593" s="19" t="s">
        <v>68</v>
      </c>
      <c r="D593" s="19" t="s">
        <v>5137</v>
      </c>
      <c r="E593" s="19" t="s">
        <v>5138</v>
      </c>
      <c r="F593" s="19" t="s">
        <v>5139</v>
      </c>
      <c r="I593" s="19" t="s">
        <v>5140</v>
      </c>
      <c r="K593" s="19" t="s">
        <v>5141</v>
      </c>
      <c r="M593" s="19" t="s">
        <v>5142</v>
      </c>
      <c r="P593" s="19" t="s">
        <v>5143</v>
      </c>
      <c r="Q593" s="19" t="s">
        <v>5144</v>
      </c>
      <c r="R593" s="19" t="s">
        <v>5145</v>
      </c>
    </row>
    <row r="594" spans="1:18">
      <c r="A594" s="19" t="s">
        <v>26</v>
      </c>
      <c r="B594" s="19" t="s">
        <v>5146</v>
      </c>
      <c r="C594" s="19" t="s">
        <v>68</v>
      </c>
      <c r="D594" s="19" t="s">
        <v>5147</v>
      </c>
      <c r="E594" s="19" t="s">
        <v>5148</v>
      </c>
      <c r="F594" s="19" t="s">
        <v>5149</v>
      </c>
      <c r="I594" s="19" t="s">
        <v>5150</v>
      </c>
      <c r="K594" s="19" t="s">
        <v>5151</v>
      </c>
      <c r="M594" s="19" t="s">
        <v>5152</v>
      </c>
      <c r="P594" s="19" t="s">
        <v>5153</v>
      </c>
      <c r="Q594" s="19" t="s">
        <v>5154</v>
      </c>
      <c r="R594" s="19" t="s">
        <v>5155</v>
      </c>
    </row>
    <row r="595" spans="1:18">
      <c r="A595" s="19" t="s">
        <v>26</v>
      </c>
      <c r="B595" s="19" t="s">
        <v>5156</v>
      </c>
      <c r="C595" s="19" t="s">
        <v>68</v>
      </c>
      <c r="D595" s="19" t="s">
        <v>5157</v>
      </c>
      <c r="E595" s="19" t="s">
        <v>5158</v>
      </c>
      <c r="F595" s="19" t="s">
        <v>5159</v>
      </c>
      <c r="I595" s="19" t="s">
        <v>5160</v>
      </c>
      <c r="K595" s="19" t="s">
        <v>5161</v>
      </c>
      <c r="M595" s="19" t="s">
        <v>5162</v>
      </c>
      <c r="P595" s="19" t="s">
        <v>5163</v>
      </c>
      <c r="Q595" s="19" t="s">
        <v>5164</v>
      </c>
      <c r="R595" s="19" t="s">
        <v>5165</v>
      </c>
    </row>
    <row r="596" spans="1:18">
      <c r="A596" s="19" t="s">
        <v>26</v>
      </c>
      <c r="B596" s="19" t="s">
        <v>5166</v>
      </c>
      <c r="C596" s="19" t="s">
        <v>68</v>
      </c>
      <c r="D596" s="19" t="s">
        <v>5167</v>
      </c>
      <c r="E596" s="19" t="s">
        <v>5168</v>
      </c>
      <c r="F596" s="19" t="s">
        <v>5169</v>
      </c>
      <c r="I596" s="19" t="s">
        <v>5170</v>
      </c>
      <c r="K596" s="19" t="s">
        <v>5171</v>
      </c>
      <c r="M596" s="19" t="s">
        <v>5172</v>
      </c>
      <c r="P596" s="19" t="s">
        <v>5173</v>
      </c>
      <c r="Q596" s="19" t="s">
        <v>5174</v>
      </c>
      <c r="R596" s="19" t="s">
        <v>5175</v>
      </c>
    </row>
    <row r="597" spans="1:18">
      <c r="A597" s="19" t="s">
        <v>26</v>
      </c>
      <c r="B597" s="19" t="s">
        <v>5176</v>
      </c>
      <c r="C597" s="19" t="s">
        <v>68</v>
      </c>
      <c r="D597" s="19" t="s">
        <v>5177</v>
      </c>
      <c r="E597" s="19" t="s">
        <v>5178</v>
      </c>
      <c r="F597" s="19" t="s">
        <v>5179</v>
      </c>
      <c r="I597" s="19" t="s">
        <v>5180</v>
      </c>
      <c r="K597" s="19" t="s">
        <v>5181</v>
      </c>
      <c r="M597" s="19" t="s">
        <v>5182</v>
      </c>
      <c r="P597" s="19" t="s">
        <v>5183</v>
      </c>
      <c r="Q597" s="19" t="s">
        <v>5184</v>
      </c>
      <c r="R597" s="19" t="s">
        <v>5185</v>
      </c>
    </row>
    <row r="598" spans="1:18">
      <c r="A598" s="19" t="s">
        <v>26</v>
      </c>
      <c r="B598" s="19" t="s">
        <v>5186</v>
      </c>
      <c r="C598" s="19" t="s">
        <v>68</v>
      </c>
      <c r="D598" s="19" t="s">
        <v>5187</v>
      </c>
      <c r="E598" s="19" t="s">
        <v>5188</v>
      </c>
      <c r="F598" s="19" t="s">
        <v>5189</v>
      </c>
      <c r="I598" s="19" t="s">
        <v>5190</v>
      </c>
      <c r="K598" s="19" t="s">
        <v>5191</v>
      </c>
      <c r="M598" s="19" t="s">
        <v>5192</v>
      </c>
      <c r="P598" s="19" t="s">
        <v>5193</v>
      </c>
      <c r="Q598" s="19" t="s">
        <v>5194</v>
      </c>
      <c r="R598" s="19" t="s">
        <v>5195</v>
      </c>
    </row>
    <row r="599" spans="1:18">
      <c r="A599" s="19" t="s">
        <v>26</v>
      </c>
      <c r="B599" s="19" t="s">
        <v>5196</v>
      </c>
      <c r="C599" s="19" t="s">
        <v>68</v>
      </c>
      <c r="D599" s="19" t="s">
        <v>5197</v>
      </c>
      <c r="E599" s="19" t="s">
        <v>5198</v>
      </c>
      <c r="F599" s="19" t="s">
        <v>5199</v>
      </c>
      <c r="I599" s="19" t="s">
        <v>5200</v>
      </c>
      <c r="K599" s="19" t="s">
        <v>5201</v>
      </c>
      <c r="M599" s="19" t="s">
        <v>5202</v>
      </c>
      <c r="P599" s="19" t="s">
        <v>5203</v>
      </c>
      <c r="Q599" s="19" t="s">
        <v>5204</v>
      </c>
      <c r="R599" s="19" t="s">
        <v>5205</v>
      </c>
    </row>
    <row r="600" spans="1:18">
      <c r="A600" s="19" t="s">
        <v>26</v>
      </c>
      <c r="B600" s="19" t="s">
        <v>5206</v>
      </c>
      <c r="C600" s="19" t="s">
        <v>68</v>
      </c>
      <c r="D600" s="19" t="s">
        <v>5207</v>
      </c>
      <c r="E600" s="19" t="s">
        <v>5208</v>
      </c>
      <c r="F600" s="19" t="s">
        <v>5209</v>
      </c>
      <c r="I600" s="19" t="s">
        <v>5210</v>
      </c>
      <c r="K600" s="19" t="s">
        <v>5211</v>
      </c>
      <c r="M600" s="19" t="s">
        <v>5212</v>
      </c>
      <c r="P600" s="19" t="s">
        <v>5213</v>
      </c>
      <c r="Q600" s="19" t="s">
        <v>5214</v>
      </c>
      <c r="R600" s="19" t="s">
        <v>5215</v>
      </c>
    </row>
    <row r="601" spans="1:18">
      <c r="A601" s="19" t="s">
        <v>26</v>
      </c>
      <c r="B601" s="19" t="s">
        <v>5216</v>
      </c>
      <c r="C601" s="19" t="s">
        <v>68</v>
      </c>
      <c r="D601" s="19" t="s">
        <v>5217</v>
      </c>
      <c r="E601" s="19" t="s">
        <v>5218</v>
      </c>
      <c r="F601" s="19" t="s">
        <v>5219</v>
      </c>
      <c r="I601" s="19" t="s">
        <v>5220</v>
      </c>
      <c r="K601" s="19" t="s">
        <v>5221</v>
      </c>
      <c r="M601" s="19" t="s">
        <v>5222</v>
      </c>
      <c r="P601" s="19" t="s">
        <v>5223</v>
      </c>
      <c r="Q601" s="19" t="s">
        <v>5224</v>
      </c>
      <c r="R601" s="19" t="s">
        <v>5225</v>
      </c>
    </row>
    <row r="602" spans="1:18">
      <c r="A602" s="19" t="s">
        <v>26</v>
      </c>
      <c r="B602" s="19" t="s">
        <v>5226</v>
      </c>
      <c r="C602" s="19" t="s">
        <v>68</v>
      </c>
      <c r="D602" s="19" t="s">
        <v>5227</v>
      </c>
      <c r="E602" s="19" t="s">
        <v>5228</v>
      </c>
      <c r="F602" s="19" t="s">
        <v>5229</v>
      </c>
      <c r="I602" s="19" t="s">
        <v>5230</v>
      </c>
      <c r="K602" s="19" t="s">
        <v>5231</v>
      </c>
      <c r="M602" s="19" t="s">
        <v>5232</v>
      </c>
      <c r="P602" s="19" t="s">
        <v>5233</v>
      </c>
      <c r="Q602" s="19" t="s">
        <v>5234</v>
      </c>
      <c r="R602" s="19" t="s">
        <v>5235</v>
      </c>
    </row>
    <row r="603" spans="1:18">
      <c r="A603" s="19" t="s">
        <v>26</v>
      </c>
      <c r="B603" s="19" t="s">
        <v>5236</v>
      </c>
      <c r="C603" s="19" t="s">
        <v>68</v>
      </c>
      <c r="D603" s="19" t="s">
        <v>5237</v>
      </c>
      <c r="E603" s="19" t="s">
        <v>5238</v>
      </c>
      <c r="F603" s="19" t="s">
        <v>5239</v>
      </c>
      <c r="I603" s="19" t="s">
        <v>5240</v>
      </c>
      <c r="K603" s="19" t="s">
        <v>5241</v>
      </c>
      <c r="M603" s="19" t="s">
        <v>5242</v>
      </c>
      <c r="P603" s="19" t="s">
        <v>5243</v>
      </c>
      <c r="Q603" s="19" t="s">
        <v>5244</v>
      </c>
      <c r="R603" s="19" t="s">
        <v>5245</v>
      </c>
    </row>
    <row r="604" spans="1:18">
      <c r="A604" s="19" t="s">
        <v>26</v>
      </c>
      <c r="B604" s="19" t="s">
        <v>5246</v>
      </c>
      <c r="C604" s="19" t="s">
        <v>68</v>
      </c>
      <c r="D604" s="19" t="s">
        <v>5247</v>
      </c>
      <c r="E604" s="19" t="s">
        <v>5248</v>
      </c>
      <c r="F604" s="19" t="s">
        <v>5249</v>
      </c>
      <c r="I604" s="19" t="s">
        <v>5250</v>
      </c>
      <c r="K604" s="19" t="s">
        <v>5251</v>
      </c>
      <c r="M604" s="19" t="s">
        <v>5252</v>
      </c>
      <c r="P604" s="19" t="s">
        <v>5253</v>
      </c>
      <c r="Q604" s="19" t="s">
        <v>5254</v>
      </c>
      <c r="R604" s="19" t="s">
        <v>5255</v>
      </c>
    </row>
    <row r="605" spans="1:18">
      <c r="A605" s="19" t="s">
        <v>26</v>
      </c>
      <c r="B605" s="19" t="s">
        <v>5256</v>
      </c>
      <c r="C605" s="19" t="s">
        <v>68</v>
      </c>
      <c r="D605" s="19" t="s">
        <v>5257</v>
      </c>
      <c r="E605" s="19" t="s">
        <v>5258</v>
      </c>
      <c r="F605" s="19" t="s">
        <v>5259</v>
      </c>
      <c r="I605" s="19" t="s">
        <v>5260</v>
      </c>
      <c r="K605" s="19" t="s">
        <v>5261</v>
      </c>
      <c r="M605" s="19" t="s">
        <v>5262</v>
      </c>
      <c r="P605" s="19" t="s">
        <v>5263</v>
      </c>
      <c r="Q605" s="19" t="s">
        <v>5264</v>
      </c>
      <c r="R605" s="19" t="s">
        <v>5265</v>
      </c>
    </row>
    <row r="606" spans="1:18">
      <c r="A606" s="19" t="s">
        <v>26</v>
      </c>
      <c r="B606" s="19" t="s">
        <v>5266</v>
      </c>
      <c r="C606" s="19" t="s">
        <v>68</v>
      </c>
      <c r="D606" s="19" t="s">
        <v>5267</v>
      </c>
      <c r="E606" s="19" t="s">
        <v>5268</v>
      </c>
      <c r="F606" s="19" t="s">
        <v>5269</v>
      </c>
      <c r="I606" s="19" t="s">
        <v>5270</v>
      </c>
      <c r="K606" s="19" t="s">
        <v>5271</v>
      </c>
      <c r="M606" s="19" t="s">
        <v>5272</v>
      </c>
      <c r="P606" s="19" t="s">
        <v>5273</v>
      </c>
      <c r="Q606" s="19" t="s">
        <v>5274</v>
      </c>
      <c r="R606" s="19" t="s">
        <v>5275</v>
      </c>
    </row>
    <row r="607" spans="1:18">
      <c r="A607" s="19" t="s">
        <v>26</v>
      </c>
      <c r="B607" s="19" t="s">
        <v>5276</v>
      </c>
      <c r="C607" s="19" t="s">
        <v>68</v>
      </c>
      <c r="D607" s="19" t="s">
        <v>5277</v>
      </c>
      <c r="E607" s="19" t="s">
        <v>5278</v>
      </c>
      <c r="F607" s="19" t="s">
        <v>5279</v>
      </c>
      <c r="I607" s="19" t="s">
        <v>5280</v>
      </c>
      <c r="K607" s="19" t="s">
        <v>5281</v>
      </c>
      <c r="M607" s="19" t="s">
        <v>5282</v>
      </c>
      <c r="P607" s="19" t="s">
        <v>5283</v>
      </c>
      <c r="Q607" s="19" t="s">
        <v>5284</v>
      </c>
      <c r="R607" s="19" t="s">
        <v>5285</v>
      </c>
    </row>
    <row r="608" spans="1:18">
      <c r="A608" s="19" t="s">
        <v>26</v>
      </c>
      <c r="B608" s="19" t="s">
        <v>5286</v>
      </c>
      <c r="C608" s="19" t="s">
        <v>68</v>
      </c>
      <c r="D608" s="19" t="s">
        <v>5287</v>
      </c>
      <c r="E608" s="19" t="s">
        <v>5288</v>
      </c>
      <c r="F608" s="19" t="s">
        <v>5289</v>
      </c>
      <c r="I608" s="19" t="s">
        <v>5290</v>
      </c>
      <c r="K608" s="19" t="s">
        <v>5291</v>
      </c>
      <c r="M608" s="19" t="s">
        <v>5292</v>
      </c>
      <c r="P608" s="19" t="s">
        <v>5293</v>
      </c>
      <c r="Q608" s="19" t="s">
        <v>5294</v>
      </c>
      <c r="R608" s="19" t="s">
        <v>5295</v>
      </c>
    </row>
    <row r="609" spans="1:18">
      <c r="A609" s="19" t="s">
        <v>26</v>
      </c>
      <c r="B609" s="19" t="s">
        <v>5296</v>
      </c>
      <c r="C609" s="19" t="s">
        <v>68</v>
      </c>
      <c r="D609" s="19" t="s">
        <v>5297</v>
      </c>
      <c r="E609" s="19" t="s">
        <v>5298</v>
      </c>
      <c r="F609" s="19" t="s">
        <v>5299</v>
      </c>
      <c r="I609" s="19" t="s">
        <v>5300</v>
      </c>
      <c r="K609" s="19" t="s">
        <v>5301</v>
      </c>
      <c r="M609" s="19" t="s">
        <v>5302</v>
      </c>
      <c r="P609" s="19" t="s">
        <v>5303</v>
      </c>
      <c r="Q609" s="19" t="s">
        <v>5304</v>
      </c>
      <c r="R609" s="19" t="s">
        <v>5305</v>
      </c>
    </row>
    <row r="610" spans="1:18">
      <c r="A610" s="19" t="s">
        <v>26</v>
      </c>
      <c r="B610" s="19" t="s">
        <v>5306</v>
      </c>
      <c r="C610" s="19" t="s">
        <v>68</v>
      </c>
      <c r="D610" s="19" t="s">
        <v>5307</v>
      </c>
      <c r="E610" s="19" t="s">
        <v>5308</v>
      </c>
      <c r="F610" s="19" t="s">
        <v>5309</v>
      </c>
      <c r="I610" s="19" t="s">
        <v>5310</v>
      </c>
      <c r="K610" s="19" t="s">
        <v>5311</v>
      </c>
      <c r="M610" s="19" t="s">
        <v>5312</v>
      </c>
      <c r="P610" s="19" t="s">
        <v>5313</v>
      </c>
      <c r="Q610" s="19" t="s">
        <v>5314</v>
      </c>
      <c r="R610" s="19" t="s">
        <v>5315</v>
      </c>
    </row>
    <row r="611" spans="1:18">
      <c r="A611" s="19" t="s">
        <v>26</v>
      </c>
      <c r="B611" s="19" t="s">
        <v>5316</v>
      </c>
      <c r="C611" s="19" t="s">
        <v>68</v>
      </c>
      <c r="D611" s="19" t="s">
        <v>5317</v>
      </c>
      <c r="E611" s="19" t="s">
        <v>5318</v>
      </c>
      <c r="F611" s="19" t="s">
        <v>5319</v>
      </c>
      <c r="I611" s="19" t="s">
        <v>5320</v>
      </c>
      <c r="K611" s="19" t="s">
        <v>5321</v>
      </c>
      <c r="M611" s="19" t="s">
        <v>5322</v>
      </c>
      <c r="P611" s="19" t="s">
        <v>5323</v>
      </c>
      <c r="Q611" s="19" t="s">
        <v>5324</v>
      </c>
      <c r="R611" s="19" t="s">
        <v>5325</v>
      </c>
    </row>
    <row r="612" spans="1:18">
      <c r="A612" s="19" t="s">
        <v>26</v>
      </c>
      <c r="B612" s="19" t="s">
        <v>5326</v>
      </c>
      <c r="C612" s="19" t="s">
        <v>68</v>
      </c>
      <c r="D612" s="19" t="s">
        <v>5327</v>
      </c>
      <c r="E612" s="19" t="s">
        <v>5328</v>
      </c>
      <c r="F612" s="19" t="s">
        <v>5329</v>
      </c>
      <c r="I612" s="19" t="s">
        <v>5330</v>
      </c>
      <c r="K612" s="19" t="s">
        <v>5331</v>
      </c>
      <c r="M612" s="19" t="s">
        <v>5332</v>
      </c>
      <c r="P612" s="19" t="s">
        <v>5333</v>
      </c>
      <c r="Q612" s="19" t="s">
        <v>5334</v>
      </c>
      <c r="R612" s="19" t="s">
        <v>5335</v>
      </c>
    </row>
    <row r="613" spans="1:18">
      <c r="A613" s="19" t="s">
        <v>26</v>
      </c>
      <c r="B613" s="19" t="s">
        <v>5336</v>
      </c>
      <c r="C613" s="19" t="s">
        <v>68</v>
      </c>
      <c r="D613" s="19" t="s">
        <v>5337</v>
      </c>
      <c r="E613" s="19" t="s">
        <v>5338</v>
      </c>
      <c r="F613" s="19" t="s">
        <v>5339</v>
      </c>
      <c r="I613" s="19" t="s">
        <v>5340</v>
      </c>
      <c r="K613" s="19" t="s">
        <v>5341</v>
      </c>
      <c r="M613" s="19" t="s">
        <v>5342</v>
      </c>
      <c r="P613" s="19" t="s">
        <v>5343</v>
      </c>
      <c r="Q613" s="19" t="s">
        <v>5344</v>
      </c>
      <c r="R613" s="19" t="s">
        <v>5345</v>
      </c>
    </row>
    <row r="614" spans="1:18">
      <c r="A614" s="19" t="s">
        <v>26</v>
      </c>
      <c r="B614" s="19" t="s">
        <v>5346</v>
      </c>
      <c r="C614" s="19" t="s">
        <v>68</v>
      </c>
      <c r="D614" s="19" t="s">
        <v>5347</v>
      </c>
      <c r="E614" s="19" t="s">
        <v>5348</v>
      </c>
      <c r="F614" s="19" t="s">
        <v>5349</v>
      </c>
      <c r="I614" s="19" t="s">
        <v>5350</v>
      </c>
      <c r="K614" s="19" t="s">
        <v>5351</v>
      </c>
      <c r="M614" s="19" t="s">
        <v>5352</v>
      </c>
      <c r="P614" s="19" t="s">
        <v>5353</v>
      </c>
      <c r="Q614" s="19" t="s">
        <v>5354</v>
      </c>
      <c r="R614" s="19" t="s">
        <v>5355</v>
      </c>
    </row>
    <row r="615" spans="1:18">
      <c r="A615" s="19" t="s">
        <v>26</v>
      </c>
      <c r="B615" s="19" t="s">
        <v>5356</v>
      </c>
      <c r="C615" s="19" t="s">
        <v>68</v>
      </c>
      <c r="D615" s="19" t="s">
        <v>5357</v>
      </c>
      <c r="E615" s="19" t="s">
        <v>5358</v>
      </c>
      <c r="F615" s="19" t="s">
        <v>5359</v>
      </c>
      <c r="I615" s="19" t="s">
        <v>5360</v>
      </c>
      <c r="K615" s="19" t="s">
        <v>5361</v>
      </c>
      <c r="M615" s="19" t="s">
        <v>5362</v>
      </c>
      <c r="P615" s="19" t="s">
        <v>5363</v>
      </c>
      <c r="Q615" s="19" t="s">
        <v>5364</v>
      </c>
      <c r="R615" s="19" t="s">
        <v>5365</v>
      </c>
    </row>
    <row r="616" spans="1:18">
      <c r="A616" s="19" t="s">
        <v>26</v>
      </c>
      <c r="B616" s="19" t="s">
        <v>5366</v>
      </c>
      <c r="C616" s="19" t="s">
        <v>68</v>
      </c>
      <c r="D616" s="19" t="s">
        <v>5367</v>
      </c>
      <c r="E616" s="19" t="s">
        <v>5368</v>
      </c>
      <c r="F616" s="19" t="s">
        <v>5369</v>
      </c>
      <c r="I616" s="19" t="s">
        <v>5370</v>
      </c>
      <c r="K616" s="19" t="s">
        <v>5371</v>
      </c>
      <c r="M616" s="19" t="s">
        <v>5372</v>
      </c>
      <c r="P616" s="19" t="s">
        <v>5373</v>
      </c>
      <c r="Q616" s="19" t="s">
        <v>5374</v>
      </c>
      <c r="R616" s="19" t="s">
        <v>5375</v>
      </c>
    </row>
    <row r="617" spans="1:18">
      <c r="A617" s="19" t="s">
        <v>26</v>
      </c>
      <c r="B617" s="19" t="s">
        <v>5376</v>
      </c>
      <c r="C617" s="19" t="s">
        <v>68</v>
      </c>
      <c r="D617" s="19" t="s">
        <v>5377</v>
      </c>
      <c r="E617" s="19" t="s">
        <v>5378</v>
      </c>
      <c r="F617" s="19" t="s">
        <v>5379</v>
      </c>
      <c r="I617" s="19" t="s">
        <v>5380</v>
      </c>
      <c r="K617" s="19" t="s">
        <v>5381</v>
      </c>
      <c r="M617" s="19" t="s">
        <v>5382</v>
      </c>
      <c r="P617" s="19" t="s">
        <v>5383</v>
      </c>
      <c r="Q617" s="19" t="s">
        <v>5384</v>
      </c>
      <c r="R617" s="19" t="s">
        <v>5385</v>
      </c>
    </row>
    <row r="618" spans="1:18">
      <c r="A618" s="19" t="s">
        <v>26</v>
      </c>
      <c r="B618" s="19" t="s">
        <v>5386</v>
      </c>
      <c r="C618" s="19" t="s">
        <v>68</v>
      </c>
      <c r="D618" s="19" t="s">
        <v>5387</v>
      </c>
      <c r="E618" s="19" t="s">
        <v>5388</v>
      </c>
      <c r="F618" s="19" t="s">
        <v>5389</v>
      </c>
      <c r="I618" s="19" t="s">
        <v>5390</v>
      </c>
      <c r="K618" s="19" t="s">
        <v>5391</v>
      </c>
      <c r="M618" s="19" t="s">
        <v>5392</v>
      </c>
      <c r="P618" s="19" t="s">
        <v>5393</v>
      </c>
      <c r="Q618" s="19" t="s">
        <v>5394</v>
      </c>
      <c r="R618" s="19" t="s">
        <v>5395</v>
      </c>
    </row>
    <row r="619" spans="1:18">
      <c r="A619" s="19" t="s">
        <v>26</v>
      </c>
      <c r="B619" s="19" t="s">
        <v>5396</v>
      </c>
      <c r="C619" s="19" t="s">
        <v>68</v>
      </c>
      <c r="D619" s="19" t="s">
        <v>5397</v>
      </c>
      <c r="E619" s="19" t="s">
        <v>5398</v>
      </c>
      <c r="F619" s="19" t="s">
        <v>5399</v>
      </c>
      <c r="I619" s="19" t="s">
        <v>5400</v>
      </c>
      <c r="K619" s="19" t="s">
        <v>5401</v>
      </c>
      <c r="M619" s="19" t="s">
        <v>5402</v>
      </c>
      <c r="P619" s="19" t="s">
        <v>5403</v>
      </c>
      <c r="Q619" s="19" t="s">
        <v>5404</v>
      </c>
      <c r="R619" s="19" t="s">
        <v>5405</v>
      </c>
    </row>
    <row r="620" spans="1:18">
      <c r="A620" s="19" t="s">
        <v>26</v>
      </c>
      <c r="B620" s="19" t="s">
        <v>5406</v>
      </c>
      <c r="C620" s="19" t="s">
        <v>68</v>
      </c>
      <c r="D620" s="19" t="s">
        <v>5407</v>
      </c>
      <c r="E620" s="19" t="s">
        <v>5408</v>
      </c>
      <c r="F620" s="19" t="s">
        <v>5409</v>
      </c>
      <c r="I620" s="19" t="s">
        <v>5410</v>
      </c>
      <c r="K620" s="19" t="s">
        <v>5411</v>
      </c>
      <c r="M620" s="19" t="s">
        <v>5412</v>
      </c>
      <c r="P620" s="19" t="s">
        <v>5413</v>
      </c>
      <c r="Q620" s="19" t="s">
        <v>5414</v>
      </c>
      <c r="R620" s="19" t="s">
        <v>5415</v>
      </c>
    </row>
    <row r="621" spans="1:18">
      <c r="A621" s="19" t="s">
        <v>26</v>
      </c>
      <c r="B621" s="19" t="s">
        <v>5416</v>
      </c>
      <c r="C621" s="19" t="s">
        <v>68</v>
      </c>
      <c r="D621" s="19" t="s">
        <v>5417</v>
      </c>
      <c r="E621" s="19" t="s">
        <v>5418</v>
      </c>
      <c r="F621" s="19" t="s">
        <v>5419</v>
      </c>
      <c r="I621" s="19" t="s">
        <v>5420</v>
      </c>
      <c r="K621" s="19" t="s">
        <v>5421</v>
      </c>
      <c r="M621" s="19" t="s">
        <v>5422</v>
      </c>
      <c r="P621" s="19" t="s">
        <v>5423</v>
      </c>
      <c r="Q621" s="19" t="s">
        <v>5424</v>
      </c>
      <c r="R621" s="19" t="s">
        <v>5425</v>
      </c>
    </row>
    <row r="622" spans="1:18">
      <c r="A622" s="19" t="s">
        <v>26</v>
      </c>
      <c r="B622" s="19" t="s">
        <v>5426</v>
      </c>
      <c r="C622" s="19" t="s">
        <v>68</v>
      </c>
      <c r="D622" s="19" t="s">
        <v>5427</v>
      </c>
      <c r="E622" s="19" t="s">
        <v>5428</v>
      </c>
      <c r="F622" s="19" t="s">
        <v>5429</v>
      </c>
      <c r="I622" s="19" t="s">
        <v>5430</v>
      </c>
      <c r="K622" s="19" t="s">
        <v>5431</v>
      </c>
      <c r="M622" s="19" t="s">
        <v>5432</v>
      </c>
      <c r="P622" s="19" t="s">
        <v>5433</v>
      </c>
      <c r="Q622" s="19" t="s">
        <v>5434</v>
      </c>
      <c r="R622" s="19" t="s">
        <v>5435</v>
      </c>
    </row>
    <row r="623" spans="1:18">
      <c r="A623" s="19" t="s">
        <v>26</v>
      </c>
      <c r="B623" s="19" t="s">
        <v>5436</v>
      </c>
      <c r="C623" s="19" t="s">
        <v>68</v>
      </c>
      <c r="D623" s="19" t="s">
        <v>5437</v>
      </c>
      <c r="E623" s="19" t="s">
        <v>5438</v>
      </c>
      <c r="F623" s="19" t="s">
        <v>5439</v>
      </c>
      <c r="I623" s="19" t="s">
        <v>5440</v>
      </c>
      <c r="K623" s="19" t="s">
        <v>5441</v>
      </c>
      <c r="M623" s="19" t="s">
        <v>5442</v>
      </c>
      <c r="P623" s="19" t="s">
        <v>5443</v>
      </c>
      <c r="Q623" s="19" t="s">
        <v>5444</v>
      </c>
      <c r="R623" s="19" t="s">
        <v>5445</v>
      </c>
    </row>
    <row r="624" spans="1:18">
      <c r="A624" s="19" t="s">
        <v>26</v>
      </c>
      <c r="B624" s="19" t="s">
        <v>5446</v>
      </c>
      <c r="C624" s="19" t="s">
        <v>68</v>
      </c>
      <c r="D624" s="19" t="s">
        <v>5447</v>
      </c>
      <c r="E624" s="19" t="s">
        <v>5448</v>
      </c>
      <c r="F624" s="19" t="s">
        <v>5449</v>
      </c>
      <c r="I624" s="19" t="s">
        <v>5450</v>
      </c>
      <c r="K624" s="19" t="s">
        <v>5451</v>
      </c>
      <c r="M624" s="19" t="s">
        <v>5452</v>
      </c>
      <c r="P624" s="19" t="s">
        <v>5453</v>
      </c>
      <c r="Q624" s="19" t="s">
        <v>5454</v>
      </c>
      <c r="R624" s="19" t="s">
        <v>5455</v>
      </c>
    </row>
    <row r="625" spans="1:18">
      <c r="A625" s="19" t="s">
        <v>26</v>
      </c>
      <c r="B625" s="19" t="s">
        <v>5456</v>
      </c>
      <c r="C625" s="19" t="s">
        <v>68</v>
      </c>
      <c r="D625" s="19" t="s">
        <v>5457</v>
      </c>
      <c r="E625" s="19" t="s">
        <v>5458</v>
      </c>
      <c r="F625" s="19" t="s">
        <v>5459</v>
      </c>
      <c r="I625" s="19" t="s">
        <v>5460</v>
      </c>
      <c r="K625" s="19" t="s">
        <v>5461</v>
      </c>
      <c r="M625" s="19" t="s">
        <v>5462</v>
      </c>
      <c r="P625" s="19" t="s">
        <v>5463</v>
      </c>
      <c r="Q625" s="19" t="s">
        <v>5464</v>
      </c>
      <c r="R625" s="19" t="s">
        <v>5465</v>
      </c>
    </row>
    <row r="626" spans="1:18">
      <c r="A626" s="19" t="s">
        <v>26</v>
      </c>
      <c r="B626" s="19" t="s">
        <v>5466</v>
      </c>
      <c r="C626" s="19" t="s">
        <v>68</v>
      </c>
      <c r="D626" s="19" t="s">
        <v>5467</v>
      </c>
      <c r="E626" s="19" t="s">
        <v>5468</v>
      </c>
      <c r="F626" s="19" t="s">
        <v>5469</v>
      </c>
      <c r="I626" s="19" t="s">
        <v>5470</v>
      </c>
      <c r="K626" s="19" t="s">
        <v>5471</v>
      </c>
      <c r="M626" s="19" t="s">
        <v>5472</v>
      </c>
      <c r="P626" s="19" t="s">
        <v>5473</v>
      </c>
      <c r="Q626" s="19" t="s">
        <v>5474</v>
      </c>
      <c r="R626" s="19" t="s">
        <v>5475</v>
      </c>
    </row>
    <row r="627" spans="1:18">
      <c r="B627" s="19" t="s">
        <v>16</v>
      </c>
    </row>
    <row r="628" spans="1:18">
      <c r="B628" s="19" t="s">
        <v>5476</v>
      </c>
      <c r="F628" s="19" t="s">
        <v>5477</v>
      </c>
      <c r="I628" s="19" t="s">
        <v>5478</v>
      </c>
      <c r="K628" s="19" t="s">
        <v>5479</v>
      </c>
      <c r="M628" s="19" t="s">
        <v>5480</v>
      </c>
      <c r="P628" s="19" t="s">
        <v>5481</v>
      </c>
      <c r="Q628" s="19" t="s">
        <v>5482</v>
      </c>
      <c r="R628" s="19" t="s">
        <v>5483</v>
      </c>
    </row>
    <row r="629" spans="1:18">
      <c r="B629" s="19" t="s">
        <v>4695</v>
      </c>
    </row>
    <row r="630" spans="1:18">
      <c r="B630" s="19" t="s">
        <v>5484</v>
      </c>
      <c r="F630" s="19" t="s">
        <v>69</v>
      </c>
    </row>
    <row r="631" spans="1:18">
      <c r="B631" s="19" t="s">
        <v>5485</v>
      </c>
      <c r="C631" s="19" t="s">
        <v>70</v>
      </c>
      <c r="D631" s="19" t="s">
        <v>5486</v>
      </c>
      <c r="E631" s="19" t="s">
        <v>5487</v>
      </c>
      <c r="F631" s="19" t="s">
        <v>5488</v>
      </c>
      <c r="I631" s="19" t="s">
        <v>5489</v>
      </c>
      <c r="K631" s="19" t="s">
        <v>5490</v>
      </c>
      <c r="M631" s="19" t="s">
        <v>5491</v>
      </c>
      <c r="P631" s="19" t="s">
        <v>5492</v>
      </c>
      <c r="Q631" s="19" t="s">
        <v>5493</v>
      </c>
      <c r="R631" s="19" t="s">
        <v>5494</v>
      </c>
    </row>
    <row r="632" spans="1:18">
      <c r="A632" s="19" t="s">
        <v>26</v>
      </c>
      <c r="B632" s="19" t="s">
        <v>5495</v>
      </c>
      <c r="C632" s="19" t="s">
        <v>70</v>
      </c>
      <c r="D632" s="19" t="s">
        <v>5496</v>
      </c>
      <c r="E632" s="19" t="s">
        <v>5497</v>
      </c>
      <c r="F632" s="19" t="s">
        <v>5498</v>
      </c>
      <c r="I632" s="19" t="s">
        <v>5499</v>
      </c>
      <c r="K632" s="19" t="s">
        <v>5500</v>
      </c>
      <c r="M632" s="19" t="s">
        <v>5501</v>
      </c>
      <c r="P632" s="19" t="s">
        <v>5502</v>
      </c>
      <c r="Q632" s="19" t="s">
        <v>5503</v>
      </c>
      <c r="R632" s="19" t="s">
        <v>5504</v>
      </c>
    </row>
    <row r="633" spans="1:18">
      <c r="A633" s="19" t="s">
        <v>26</v>
      </c>
      <c r="B633" s="19" t="s">
        <v>5505</v>
      </c>
      <c r="C633" s="19" t="s">
        <v>70</v>
      </c>
      <c r="D633" s="19" t="s">
        <v>5506</v>
      </c>
      <c r="E633" s="19" t="s">
        <v>5507</v>
      </c>
      <c r="F633" s="19" t="s">
        <v>5508</v>
      </c>
      <c r="I633" s="19" t="s">
        <v>5509</v>
      </c>
      <c r="K633" s="19" t="s">
        <v>5510</v>
      </c>
      <c r="M633" s="19" t="s">
        <v>5511</v>
      </c>
      <c r="P633" s="19" t="s">
        <v>5512</v>
      </c>
      <c r="Q633" s="19" t="s">
        <v>5513</v>
      </c>
      <c r="R633" s="19" t="s">
        <v>5514</v>
      </c>
    </row>
    <row r="634" spans="1:18">
      <c r="A634" s="19" t="s">
        <v>26</v>
      </c>
      <c r="B634" s="19" t="s">
        <v>5515</v>
      </c>
      <c r="C634" s="19" t="s">
        <v>70</v>
      </c>
      <c r="D634" s="19" t="s">
        <v>5516</v>
      </c>
      <c r="E634" s="19" t="s">
        <v>5517</v>
      </c>
      <c r="F634" s="19" t="s">
        <v>5518</v>
      </c>
      <c r="I634" s="19" t="s">
        <v>5519</v>
      </c>
      <c r="K634" s="19" t="s">
        <v>5520</v>
      </c>
      <c r="M634" s="19" t="s">
        <v>5521</v>
      </c>
      <c r="P634" s="19" t="s">
        <v>5522</v>
      </c>
      <c r="Q634" s="19" t="s">
        <v>5523</v>
      </c>
      <c r="R634" s="19" t="s">
        <v>5524</v>
      </c>
    </row>
    <row r="635" spans="1:18">
      <c r="A635" s="19" t="s">
        <v>26</v>
      </c>
      <c r="B635" s="19" t="s">
        <v>5525</v>
      </c>
      <c r="C635" s="19" t="s">
        <v>70</v>
      </c>
      <c r="D635" s="19" t="s">
        <v>5526</v>
      </c>
      <c r="E635" s="19" t="s">
        <v>5527</v>
      </c>
      <c r="F635" s="19" t="s">
        <v>5528</v>
      </c>
      <c r="I635" s="19" t="s">
        <v>5529</v>
      </c>
      <c r="K635" s="19" t="s">
        <v>5530</v>
      </c>
      <c r="M635" s="19" t="s">
        <v>5531</v>
      </c>
      <c r="P635" s="19" t="s">
        <v>5532</v>
      </c>
      <c r="Q635" s="19" t="s">
        <v>5533</v>
      </c>
      <c r="R635" s="19" t="s">
        <v>5534</v>
      </c>
    </row>
    <row r="636" spans="1:18">
      <c r="A636" s="19" t="s">
        <v>26</v>
      </c>
      <c r="B636" s="19" t="s">
        <v>5535</v>
      </c>
      <c r="C636" s="19" t="s">
        <v>70</v>
      </c>
      <c r="D636" s="19" t="s">
        <v>5536</v>
      </c>
      <c r="E636" s="19" t="s">
        <v>5537</v>
      </c>
      <c r="F636" s="19" t="s">
        <v>5538</v>
      </c>
      <c r="I636" s="19" t="s">
        <v>5539</v>
      </c>
      <c r="K636" s="19" t="s">
        <v>5540</v>
      </c>
      <c r="M636" s="19" t="s">
        <v>5541</v>
      </c>
      <c r="P636" s="19" t="s">
        <v>5542</v>
      </c>
      <c r="Q636" s="19" t="s">
        <v>5543</v>
      </c>
      <c r="R636" s="19" t="s">
        <v>5544</v>
      </c>
    </row>
    <row r="637" spans="1:18">
      <c r="A637" s="19" t="s">
        <v>26</v>
      </c>
      <c r="B637" s="19" t="s">
        <v>5545</v>
      </c>
      <c r="C637" s="19" t="s">
        <v>70</v>
      </c>
      <c r="D637" s="19" t="s">
        <v>5546</v>
      </c>
      <c r="E637" s="19" t="s">
        <v>5547</v>
      </c>
      <c r="F637" s="19" t="s">
        <v>5548</v>
      </c>
      <c r="I637" s="19" t="s">
        <v>5549</v>
      </c>
      <c r="K637" s="19" t="s">
        <v>5550</v>
      </c>
      <c r="M637" s="19" t="s">
        <v>5551</v>
      </c>
      <c r="P637" s="19" t="s">
        <v>5552</v>
      </c>
      <c r="Q637" s="19" t="s">
        <v>5553</v>
      </c>
      <c r="R637" s="19" t="s">
        <v>5554</v>
      </c>
    </row>
    <row r="638" spans="1:18">
      <c r="A638" s="19" t="s">
        <v>26</v>
      </c>
      <c r="B638" s="19" t="s">
        <v>5555</v>
      </c>
      <c r="C638" s="19" t="s">
        <v>70</v>
      </c>
      <c r="D638" s="19" t="s">
        <v>5556</v>
      </c>
      <c r="E638" s="19" t="s">
        <v>5557</v>
      </c>
      <c r="F638" s="19" t="s">
        <v>5558</v>
      </c>
      <c r="I638" s="19" t="s">
        <v>5559</v>
      </c>
      <c r="K638" s="19" t="s">
        <v>5560</v>
      </c>
      <c r="M638" s="19" t="s">
        <v>5561</v>
      </c>
      <c r="P638" s="19" t="s">
        <v>5562</v>
      </c>
      <c r="Q638" s="19" t="s">
        <v>5563</v>
      </c>
      <c r="R638" s="19" t="s">
        <v>5564</v>
      </c>
    </row>
    <row r="639" spans="1:18">
      <c r="A639" s="19" t="s">
        <v>26</v>
      </c>
      <c r="B639" s="19" t="s">
        <v>5565</v>
      </c>
      <c r="C639" s="19" t="s">
        <v>70</v>
      </c>
      <c r="D639" s="19" t="s">
        <v>5566</v>
      </c>
      <c r="E639" s="19" t="s">
        <v>5567</v>
      </c>
      <c r="F639" s="19" t="s">
        <v>5568</v>
      </c>
      <c r="I639" s="19" t="s">
        <v>5569</v>
      </c>
      <c r="K639" s="19" t="s">
        <v>5570</v>
      </c>
      <c r="M639" s="19" t="s">
        <v>5571</v>
      </c>
      <c r="P639" s="19" t="s">
        <v>5572</v>
      </c>
      <c r="Q639" s="19" t="s">
        <v>5573</v>
      </c>
      <c r="R639" s="19" t="s">
        <v>5574</v>
      </c>
    </row>
    <row r="640" spans="1:18">
      <c r="A640" s="19" t="s">
        <v>26</v>
      </c>
      <c r="B640" s="19" t="s">
        <v>5575</v>
      </c>
      <c r="C640" s="19" t="s">
        <v>70</v>
      </c>
      <c r="D640" s="19" t="s">
        <v>5576</v>
      </c>
      <c r="E640" s="19" t="s">
        <v>5577</v>
      </c>
      <c r="F640" s="19" t="s">
        <v>5578</v>
      </c>
      <c r="I640" s="19" t="s">
        <v>5579</v>
      </c>
      <c r="K640" s="19" t="s">
        <v>5580</v>
      </c>
      <c r="M640" s="19" t="s">
        <v>5581</v>
      </c>
      <c r="P640" s="19" t="s">
        <v>5582</v>
      </c>
      <c r="Q640" s="19" t="s">
        <v>5583</v>
      </c>
      <c r="R640" s="19" t="s">
        <v>5584</v>
      </c>
    </row>
    <row r="641" spans="1:18">
      <c r="A641" s="19" t="s">
        <v>26</v>
      </c>
      <c r="B641" s="19" t="s">
        <v>5585</v>
      </c>
      <c r="C641" s="19" t="s">
        <v>70</v>
      </c>
      <c r="D641" s="19" t="s">
        <v>5586</v>
      </c>
      <c r="E641" s="19" t="s">
        <v>5587</v>
      </c>
      <c r="F641" s="19" t="s">
        <v>5588</v>
      </c>
      <c r="I641" s="19" t="s">
        <v>5589</v>
      </c>
      <c r="K641" s="19" t="s">
        <v>5590</v>
      </c>
      <c r="M641" s="19" t="s">
        <v>5591</v>
      </c>
      <c r="P641" s="19" t="s">
        <v>5592</v>
      </c>
      <c r="Q641" s="19" t="s">
        <v>5593</v>
      </c>
      <c r="R641" s="19" t="s">
        <v>5594</v>
      </c>
    </row>
    <row r="642" spans="1:18">
      <c r="A642" s="19" t="s">
        <v>26</v>
      </c>
      <c r="B642" s="19" t="s">
        <v>5595</v>
      </c>
      <c r="C642" s="19" t="s">
        <v>70</v>
      </c>
      <c r="D642" s="19" t="s">
        <v>5596</v>
      </c>
      <c r="E642" s="19" t="s">
        <v>5597</v>
      </c>
      <c r="F642" s="19" t="s">
        <v>5598</v>
      </c>
      <c r="I642" s="19" t="s">
        <v>5599</v>
      </c>
      <c r="K642" s="19" t="s">
        <v>5600</v>
      </c>
      <c r="M642" s="19" t="s">
        <v>5601</v>
      </c>
      <c r="P642" s="19" t="s">
        <v>5602</v>
      </c>
      <c r="Q642" s="19" t="s">
        <v>5603</v>
      </c>
      <c r="R642" s="19" t="s">
        <v>5604</v>
      </c>
    </row>
    <row r="643" spans="1:18">
      <c r="A643" s="19" t="s">
        <v>26</v>
      </c>
      <c r="B643" s="19" t="s">
        <v>5605</v>
      </c>
      <c r="C643" s="19" t="s">
        <v>70</v>
      </c>
      <c r="D643" s="19" t="s">
        <v>5606</v>
      </c>
      <c r="E643" s="19" t="s">
        <v>5607</v>
      </c>
      <c r="F643" s="19" t="s">
        <v>5608</v>
      </c>
      <c r="I643" s="19" t="s">
        <v>5609</v>
      </c>
      <c r="K643" s="19" t="s">
        <v>5610</v>
      </c>
      <c r="M643" s="19" t="s">
        <v>5611</v>
      </c>
      <c r="P643" s="19" t="s">
        <v>5612</v>
      </c>
      <c r="Q643" s="19" t="s">
        <v>5613</v>
      </c>
      <c r="R643" s="19" t="s">
        <v>5614</v>
      </c>
    </row>
    <row r="644" spans="1:18">
      <c r="A644" s="19" t="s">
        <v>26</v>
      </c>
      <c r="B644" s="19" t="s">
        <v>5615</v>
      </c>
      <c r="C644" s="19" t="s">
        <v>70</v>
      </c>
      <c r="D644" s="19" t="s">
        <v>5616</v>
      </c>
      <c r="E644" s="19" t="s">
        <v>5617</v>
      </c>
      <c r="F644" s="19" t="s">
        <v>5618</v>
      </c>
      <c r="I644" s="19" t="s">
        <v>5619</v>
      </c>
      <c r="K644" s="19" t="s">
        <v>5620</v>
      </c>
      <c r="M644" s="19" t="s">
        <v>5621</v>
      </c>
      <c r="P644" s="19" t="s">
        <v>5622</v>
      </c>
      <c r="Q644" s="19" t="s">
        <v>5623</v>
      </c>
      <c r="R644" s="19" t="s">
        <v>5624</v>
      </c>
    </row>
    <row r="645" spans="1:18">
      <c r="A645" s="19" t="s">
        <v>26</v>
      </c>
      <c r="B645" s="19" t="s">
        <v>5625</v>
      </c>
      <c r="C645" s="19" t="s">
        <v>70</v>
      </c>
      <c r="D645" s="19" t="s">
        <v>5626</v>
      </c>
      <c r="E645" s="19" t="s">
        <v>5627</v>
      </c>
      <c r="F645" s="19" t="s">
        <v>5628</v>
      </c>
      <c r="I645" s="19" t="s">
        <v>5629</v>
      </c>
      <c r="K645" s="19" t="s">
        <v>5630</v>
      </c>
      <c r="M645" s="19" t="s">
        <v>5631</v>
      </c>
      <c r="P645" s="19" t="s">
        <v>5632</v>
      </c>
      <c r="Q645" s="19" t="s">
        <v>5633</v>
      </c>
      <c r="R645" s="19" t="s">
        <v>5634</v>
      </c>
    </row>
    <row r="646" spans="1:18">
      <c r="A646" s="19" t="s">
        <v>26</v>
      </c>
      <c r="B646" s="19" t="s">
        <v>5635</v>
      </c>
      <c r="C646" s="19" t="s">
        <v>70</v>
      </c>
      <c r="D646" s="19" t="s">
        <v>5636</v>
      </c>
      <c r="E646" s="19" t="s">
        <v>5637</v>
      </c>
      <c r="F646" s="19" t="s">
        <v>5638</v>
      </c>
      <c r="I646" s="19" t="s">
        <v>5639</v>
      </c>
      <c r="K646" s="19" t="s">
        <v>5640</v>
      </c>
      <c r="M646" s="19" t="s">
        <v>5641</v>
      </c>
      <c r="P646" s="19" t="s">
        <v>5642</v>
      </c>
      <c r="Q646" s="19" t="s">
        <v>5643</v>
      </c>
      <c r="R646" s="19" t="s">
        <v>5644</v>
      </c>
    </row>
    <row r="647" spans="1:18">
      <c r="A647" s="19" t="s">
        <v>26</v>
      </c>
      <c r="B647" s="19" t="s">
        <v>5645</v>
      </c>
      <c r="C647" s="19" t="s">
        <v>70</v>
      </c>
      <c r="D647" s="19" t="s">
        <v>5646</v>
      </c>
      <c r="E647" s="19" t="s">
        <v>5647</v>
      </c>
      <c r="F647" s="19" t="s">
        <v>5648</v>
      </c>
      <c r="I647" s="19" t="s">
        <v>5649</v>
      </c>
      <c r="K647" s="19" t="s">
        <v>5650</v>
      </c>
      <c r="M647" s="19" t="s">
        <v>5651</v>
      </c>
      <c r="P647" s="19" t="s">
        <v>5652</v>
      </c>
      <c r="Q647" s="19" t="s">
        <v>5653</v>
      </c>
      <c r="R647" s="19" t="s">
        <v>5654</v>
      </c>
    </row>
    <row r="648" spans="1:18">
      <c r="A648" s="19" t="s">
        <v>26</v>
      </c>
      <c r="B648" s="19" t="s">
        <v>5655</v>
      </c>
      <c r="C648" s="19" t="s">
        <v>70</v>
      </c>
      <c r="D648" s="19" t="s">
        <v>5656</v>
      </c>
      <c r="E648" s="19" t="s">
        <v>5657</v>
      </c>
      <c r="F648" s="19" t="s">
        <v>5658</v>
      </c>
      <c r="I648" s="19" t="s">
        <v>5659</v>
      </c>
      <c r="K648" s="19" t="s">
        <v>5660</v>
      </c>
      <c r="M648" s="19" t="s">
        <v>5661</v>
      </c>
      <c r="P648" s="19" t="s">
        <v>5662</v>
      </c>
      <c r="Q648" s="19" t="s">
        <v>5663</v>
      </c>
      <c r="R648" s="19" t="s">
        <v>5664</v>
      </c>
    </row>
    <row r="649" spans="1:18">
      <c r="A649" s="19" t="s">
        <v>26</v>
      </c>
      <c r="B649" s="19" t="s">
        <v>5665</v>
      </c>
      <c r="C649" s="19" t="s">
        <v>70</v>
      </c>
      <c r="D649" s="19" t="s">
        <v>5666</v>
      </c>
      <c r="E649" s="19" t="s">
        <v>5667</v>
      </c>
      <c r="F649" s="19" t="s">
        <v>5668</v>
      </c>
      <c r="I649" s="19" t="s">
        <v>5669</v>
      </c>
      <c r="K649" s="19" t="s">
        <v>5670</v>
      </c>
      <c r="M649" s="19" t="s">
        <v>5671</v>
      </c>
      <c r="P649" s="19" t="s">
        <v>5672</v>
      </c>
      <c r="Q649" s="19" t="s">
        <v>5673</v>
      </c>
      <c r="R649" s="19" t="s">
        <v>5674</v>
      </c>
    </row>
    <row r="650" spans="1:18">
      <c r="A650" s="19" t="s">
        <v>26</v>
      </c>
      <c r="B650" s="19" t="s">
        <v>5675</v>
      </c>
      <c r="C650" s="19" t="s">
        <v>70</v>
      </c>
      <c r="D650" s="19" t="s">
        <v>5676</v>
      </c>
      <c r="E650" s="19" t="s">
        <v>5677</v>
      </c>
      <c r="F650" s="19" t="s">
        <v>5678</v>
      </c>
      <c r="I650" s="19" t="s">
        <v>5679</v>
      </c>
      <c r="K650" s="19" t="s">
        <v>5680</v>
      </c>
      <c r="M650" s="19" t="s">
        <v>5681</v>
      </c>
      <c r="P650" s="19" t="s">
        <v>5682</v>
      </c>
      <c r="Q650" s="19" t="s">
        <v>5683</v>
      </c>
      <c r="R650" s="19" t="s">
        <v>5684</v>
      </c>
    </row>
    <row r="651" spans="1:18">
      <c r="A651" s="19" t="s">
        <v>26</v>
      </c>
      <c r="B651" s="19" t="s">
        <v>5685</v>
      </c>
      <c r="C651" s="19" t="s">
        <v>70</v>
      </c>
      <c r="D651" s="19" t="s">
        <v>5686</v>
      </c>
      <c r="E651" s="19" t="s">
        <v>5687</v>
      </c>
      <c r="F651" s="19" t="s">
        <v>5688</v>
      </c>
      <c r="I651" s="19" t="s">
        <v>5689</v>
      </c>
      <c r="K651" s="19" t="s">
        <v>5690</v>
      </c>
      <c r="M651" s="19" t="s">
        <v>5691</v>
      </c>
      <c r="P651" s="19" t="s">
        <v>5692</v>
      </c>
      <c r="Q651" s="19" t="s">
        <v>5693</v>
      </c>
      <c r="R651" s="19" t="s">
        <v>5694</v>
      </c>
    </row>
    <row r="652" spans="1:18">
      <c r="A652" s="19" t="s">
        <v>26</v>
      </c>
      <c r="B652" s="19" t="s">
        <v>5695</v>
      </c>
      <c r="C652" s="19" t="s">
        <v>70</v>
      </c>
      <c r="D652" s="19" t="s">
        <v>5696</v>
      </c>
      <c r="E652" s="19" t="s">
        <v>5697</v>
      </c>
      <c r="F652" s="19" t="s">
        <v>5698</v>
      </c>
      <c r="I652" s="19" t="s">
        <v>5699</v>
      </c>
      <c r="K652" s="19" t="s">
        <v>5700</v>
      </c>
      <c r="M652" s="19" t="s">
        <v>5701</v>
      </c>
      <c r="P652" s="19" t="s">
        <v>5702</v>
      </c>
      <c r="Q652" s="19" t="s">
        <v>5703</v>
      </c>
      <c r="R652" s="19" t="s">
        <v>5704</v>
      </c>
    </row>
    <row r="653" spans="1:18">
      <c r="A653" s="19" t="s">
        <v>26</v>
      </c>
      <c r="B653" s="19" t="s">
        <v>5705</v>
      </c>
      <c r="C653" s="19" t="s">
        <v>70</v>
      </c>
      <c r="D653" s="19" t="s">
        <v>5706</v>
      </c>
      <c r="E653" s="19" t="s">
        <v>5707</v>
      </c>
      <c r="F653" s="19" t="s">
        <v>5708</v>
      </c>
      <c r="I653" s="19" t="s">
        <v>5709</v>
      </c>
      <c r="K653" s="19" t="s">
        <v>5710</v>
      </c>
      <c r="M653" s="19" t="s">
        <v>5711</v>
      </c>
      <c r="P653" s="19" t="s">
        <v>5712</v>
      </c>
      <c r="Q653" s="19" t="s">
        <v>5713</v>
      </c>
      <c r="R653" s="19" t="s">
        <v>5714</v>
      </c>
    </row>
    <row r="654" spans="1:18">
      <c r="A654" s="19" t="s">
        <v>26</v>
      </c>
      <c r="B654" s="19" t="s">
        <v>5715</v>
      </c>
      <c r="C654" s="19" t="s">
        <v>70</v>
      </c>
      <c r="D654" s="19" t="s">
        <v>5716</v>
      </c>
      <c r="E654" s="19" t="s">
        <v>5717</v>
      </c>
      <c r="F654" s="19" t="s">
        <v>5718</v>
      </c>
      <c r="I654" s="19" t="s">
        <v>5719</v>
      </c>
      <c r="K654" s="19" t="s">
        <v>5720</v>
      </c>
      <c r="M654" s="19" t="s">
        <v>5721</v>
      </c>
      <c r="P654" s="19" t="s">
        <v>5722</v>
      </c>
      <c r="Q654" s="19" t="s">
        <v>5723</v>
      </c>
      <c r="R654" s="19" t="s">
        <v>5724</v>
      </c>
    </row>
    <row r="655" spans="1:18">
      <c r="A655" s="19" t="s">
        <v>26</v>
      </c>
      <c r="B655" s="19" t="s">
        <v>5725</v>
      </c>
      <c r="C655" s="19" t="s">
        <v>70</v>
      </c>
      <c r="D655" s="19" t="s">
        <v>5726</v>
      </c>
      <c r="E655" s="19" t="s">
        <v>5727</v>
      </c>
      <c r="F655" s="19" t="s">
        <v>5728</v>
      </c>
      <c r="I655" s="19" t="s">
        <v>5729</v>
      </c>
      <c r="K655" s="19" t="s">
        <v>5730</v>
      </c>
      <c r="M655" s="19" t="s">
        <v>5731</v>
      </c>
      <c r="P655" s="19" t="s">
        <v>5732</v>
      </c>
      <c r="Q655" s="19" t="s">
        <v>5733</v>
      </c>
      <c r="R655" s="19" t="s">
        <v>5734</v>
      </c>
    </row>
    <row r="656" spans="1:18">
      <c r="A656" s="19" t="s">
        <v>26</v>
      </c>
      <c r="B656" s="19" t="s">
        <v>5735</v>
      </c>
      <c r="C656" s="19" t="s">
        <v>70</v>
      </c>
      <c r="D656" s="19" t="s">
        <v>5736</v>
      </c>
      <c r="E656" s="19" t="s">
        <v>5737</v>
      </c>
      <c r="F656" s="19" t="s">
        <v>5738</v>
      </c>
      <c r="I656" s="19" t="s">
        <v>5739</v>
      </c>
      <c r="K656" s="19" t="s">
        <v>5740</v>
      </c>
      <c r="M656" s="19" t="s">
        <v>5741</v>
      </c>
      <c r="P656" s="19" t="s">
        <v>5742</v>
      </c>
      <c r="Q656" s="19" t="s">
        <v>5743</v>
      </c>
      <c r="R656" s="19" t="s">
        <v>5744</v>
      </c>
    </row>
    <row r="657" spans="1:18">
      <c r="A657" s="19" t="s">
        <v>26</v>
      </c>
      <c r="B657" s="19" t="s">
        <v>5745</v>
      </c>
      <c r="C657" s="19" t="s">
        <v>70</v>
      </c>
      <c r="D657" s="19" t="s">
        <v>5746</v>
      </c>
      <c r="E657" s="19" t="s">
        <v>5747</v>
      </c>
      <c r="F657" s="19" t="s">
        <v>5748</v>
      </c>
      <c r="I657" s="19" t="s">
        <v>5749</v>
      </c>
      <c r="K657" s="19" t="s">
        <v>5750</v>
      </c>
      <c r="M657" s="19" t="s">
        <v>5751</v>
      </c>
      <c r="P657" s="19" t="s">
        <v>5752</v>
      </c>
      <c r="Q657" s="19" t="s">
        <v>5753</v>
      </c>
      <c r="R657" s="19" t="s">
        <v>5754</v>
      </c>
    </row>
    <row r="658" spans="1:18">
      <c r="A658" s="19" t="s">
        <v>26</v>
      </c>
      <c r="B658" s="19" t="s">
        <v>5755</v>
      </c>
      <c r="C658" s="19" t="s">
        <v>70</v>
      </c>
      <c r="D658" s="19" t="s">
        <v>5756</v>
      </c>
      <c r="E658" s="19" t="s">
        <v>5757</v>
      </c>
      <c r="F658" s="19" t="s">
        <v>5758</v>
      </c>
      <c r="I658" s="19" t="s">
        <v>5759</v>
      </c>
      <c r="K658" s="19" t="s">
        <v>5760</v>
      </c>
      <c r="M658" s="19" t="s">
        <v>5761</v>
      </c>
      <c r="P658" s="19" t="s">
        <v>5762</v>
      </c>
      <c r="Q658" s="19" t="s">
        <v>5763</v>
      </c>
      <c r="R658" s="19" t="s">
        <v>5764</v>
      </c>
    </row>
    <row r="659" spans="1:18">
      <c r="B659" s="19" t="s">
        <v>16</v>
      </c>
    </row>
    <row r="660" spans="1:18">
      <c r="B660" s="19" t="s">
        <v>5765</v>
      </c>
      <c r="F660" s="19" t="s">
        <v>5766</v>
      </c>
      <c r="I660" s="19" t="s">
        <v>5767</v>
      </c>
      <c r="K660" s="19" t="s">
        <v>5768</v>
      </c>
      <c r="M660" s="19" t="s">
        <v>5769</v>
      </c>
      <c r="P660" s="19" t="s">
        <v>5770</v>
      </c>
      <c r="Q660" s="19" t="s">
        <v>5771</v>
      </c>
      <c r="R660" s="19" t="s">
        <v>5772</v>
      </c>
    </row>
    <row r="661" spans="1:18">
      <c r="B661" s="19" t="s">
        <v>5484</v>
      </c>
    </row>
    <row r="662" spans="1:18">
      <c r="B662" s="19" t="s">
        <v>5773</v>
      </c>
      <c r="F662" s="19" t="s">
        <v>71</v>
      </c>
      <c r="I662" s="19" t="s">
        <v>5774</v>
      </c>
      <c r="K662" s="19" t="s">
        <v>5775</v>
      </c>
      <c r="M662" s="19" t="s">
        <v>5776</v>
      </c>
      <c r="P662" s="19" t="s">
        <v>5777</v>
      </c>
      <c r="Q662" s="19" t="s">
        <v>5778</v>
      </c>
      <c r="R662" s="19" t="s">
        <v>5779</v>
      </c>
    </row>
    <row r="663" spans="1:18">
      <c r="B663" s="19" t="s">
        <v>4690</v>
      </c>
    </row>
    <row r="664" spans="1:18">
      <c r="B664" s="19" t="s">
        <v>4690</v>
      </c>
    </row>
    <row r="665" spans="1:18">
      <c r="B665" s="19" t="s">
        <v>5780</v>
      </c>
      <c r="F665" s="19" t="s">
        <v>72</v>
      </c>
    </row>
    <row r="666" spans="1:18">
      <c r="B666" s="19" t="s">
        <v>5781</v>
      </c>
      <c r="C666" s="19" t="s">
        <v>73</v>
      </c>
      <c r="D666" s="19" t="s">
        <v>5782</v>
      </c>
      <c r="E666" s="19" t="s">
        <v>5783</v>
      </c>
      <c r="F666" s="19" t="s">
        <v>5784</v>
      </c>
      <c r="I666" s="19" t="s">
        <v>5785</v>
      </c>
      <c r="K666" s="19" t="s">
        <v>5786</v>
      </c>
      <c r="M666" s="19" t="s">
        <v>5787</v>
      </c>
      <c r="P666" s="19" t="s">
        <v>5788</v>
      </c>
      <c r="Q666" s="19" t="s">
        <v>5789</v>
      </c>
      <c r="R666" s="19" t="s">
        <v>5790</v>
      </c>
    </row>
    <row r="667" spans="1:18">
      <c r="A667" s="19" t="s">
        <v>26</v>
      </c>
      <c r="B667" s="19" t="s">
        <v>5791</v>
      </c>
      <c r="C667" s="19" t="s">
        <v>73</v>
      </c>
      <c r="D667" s="19" t="s">
        <v>5792</v>
      </c>
      <c r="E667" s="19" t="s">
        <v>5793</v>
      </c>
      <c r="F667" s="19" t="s">
        <v>5794</v>
      </c>
      <c r="I667" s="19" t="s">
        <v>5795</v>
      </c>
      <c r="K667" s="19" t="s">
        <v>5796</v>
      </c>
      <c r="M667" s="19" t="s">
        <v>5797</v>
      </c>
      <c r="P667" s="19" t="s">
        <v>5798</v>
      </c>
      <c r="Q667" s="19" t="s">
        <v>5799</v>
      </c>
      <c r="R667" s="19" t="s">
        <v>5800</v>
      </c>
    </row>
    <row r="668" spans="1:18">
      <c r="A668" s="19" t="s">
        <v>26</v>
      </c>
      <c r="B668" s="19" t="s">
        <v>5801</v>
      </c>
      <c r="C668" s="19" t="s">
        <v>73</v>
      </c>
      <c r="D668" s="19" t="s">
        <v>5802</v>
      </c>
      <c r="E668" s="19" t="s">
        <v>5803</v>
      </c>
      <c r="F668" s="19" t="s">
        <v>5804</v>
      </c>
      <c r="I668" s="19" t="s">
        <v>5805</v>
      </c>
      <c r="K668" s="19" t="s">
        <v>5806</v>
      </c>
      <c r="M668" s="19" t="s">
        <v>5807</v>
      </c>
      <c r="P668" s="19" t="s">
        <v>5808</v>
      </c>
      <c r="Q668" s="19" t="s">
        <v>5809</v>
      </c>
      <c r="R668" s="19" t="s">
        <v>5810</v>
      </c>
    </row>
    <row r="669" spans="1:18">
      <c r="A669" s="19" t="s">
        <v>26</v>
      </c>
      <c r="B669" s="19" t="s">
        <v>5811</v>
      </c>
      <c r="C669" s="19" t="s">
        <v>73</v>
      </c>
      <c r="D669" s="19" t="s">
        <v>5812</v>
      </c>
      <c r="E669" s="19" t="s">
        <v>5813</v>
      </c>
      <c r="F669" s="19" t="s">
        <v>5814</v>
      </c>
      <c r="I669" s="19" t="s">
        <v>5815</v>
      </c>
      <c r="K669" s="19" t="s">
        <v>5816</v>
      </c>
      <c r="M669" s="19" t="s">
        <v>5817</v>
      </c>
      <c r="P669" s="19" t="s">
        <v>5818</v>
      </c>
      <c r="Q669" s="19" t="s">
        <v>5819</v>
      </c>
      <c r="R669" s="19" t="s">
        <v>5820</v>
      </c>
    </row>
    <row r="670" spans="1:18">
      <c r="A670" s="19" t="s">
        <v>26</v>
      </c>
      <c r="B670" s="19" t="s">
        <v>5821</v>
      </c>
      <c r="C670" s="19" t="s">
        <v>73</v>
      </c>
      <c r="D670" s="19" t="s">
        <v>5822</v>
      </c>
      <c r="E670" s="19" t="s">
        <v>5823</v>
      </c>
      <c r="F670" s="19" t="s">
        <v>5824</v>
      </c>
      <c r="I670" s="19" t="s">
        <v>5825</v>
      </c>
      <c r="K670" s="19" t="s">
        <v>5826</v>
      </c>
      <c r="M670" s="19" t="s">
        <v>5827</v>
      </c>
      <c r="P670" s="19" t="s">
        <v>5828</v>
      </c>
      <c r="Q670" s="19" t="s">
        <v>5829</v>
      </c>
      <c r="R670" s="19" t="s">
        <v>5830</v>
      </c>
    </row>
    <row r="671" spans="1:18">
      <c r="A671" s="19" t="s">
        <v>26</v>
      </c>
      <c r="B671" s="19" t="s">
        <v>5831</v>
      </c>
      <c r="C671" s="19" t="s">
        <v>73</v>
      </c>
      <c r="D671" s="19" t="s">
        <v>5832</v>
      </c>
      <c r="E671" s="19" t="s">
        <v>5833</v>
      </c>
      <c r="F671" s="19" t="s">
        <v>5834</v>
      </c>
      <c r="I671" s="19" t="s">
        <v>5835</v>
      </c>
      <c r="K671" s="19" t="s">
        <v>5836</v>
      </c>
      <c r="M671" s="19" t="s">
        <v>5837</v>
      </c>
      <c r="P671" s="19" t="s">
        <v>5838</v>
      </c>
      <c r="Q671" s="19" t="s">
        <v>5839</v>
      </c>
      <c r="R671" s="19" t="s">
        <v>5840</v>
      </c>
    </row>
    <row r="672" spans="1:18">
      <c r="A672" s="19" t="s">
        <v>26</v>
      </c>
      <c r="B672" s="19" t="s">
        <v>5841</v>
      </c>
      <c r="C672" s="19" t="s">
        <v>73</v>
      </c>
      <c r="D672" s="19" t="s">
        <v>5842</v>
      </c>
      <c r="E672" s="19" t="s">
        <v>5843</v>
      </c>
      <c r="F672" s="19" t="s">
        <v>5844</v>
      </c>
      <c r="I672" s="19" t="s">
        <v>5845</v>
      </c>
      <c r="K672" s="19" t="s">
        <v>5846</v>
      </c>
      <c r="M672" s="19" t="s">
        <v>5847</v>
      </c>
      <c r="P672" s="19" t="s">
        <v>5848</v>
      </c>
      <c r="Q672" s="19" t="s">
        <v>5849</v>
      </c>
      <c r="R672" s="19" t="s">
        <v>5850</v>
      </c>
    </row>
    <row r="673" spans="1:18">
      <c r="A673" s="19" t="s">
        <v>26</v>
      </c>
      <c r="B673" s="19" t="s">
        <v>5851</v>
      </c>
      <c r="C673" s="19" t="s">
        <v>73</v>
      </c>
      <c r="D673" s="19" t="s">
        <v>5852</v>
      </c>
      <c r="E673" s="19" t="s">
        <v>5853</v>
      </c>
      <c r="F673" s="19" t="s">
        <v>5854</v>
      </c>
      <c r="I673" s="19" t="s">
        <v>5855</v>
      </c>
      <c r="K673" s="19" t="s">
        <v>5856</v>
      </c>
      <c r="M673" s="19" t="s">
        <v>5857</v>
      </c>
      <c r="P673" s="19" t="s">
        <v>5858</v>
      </c>
      <c r="Q673" s="19" t="s">
        <v>5859</v>
      </c>
      <c r="R673" s="19" t="s">
        <v>5860</v>
      </c>
    </row>
    <row r="674" spans="1:18">
      <c r="A674" s="19" t="s">
        <v>26</v>
      </c>
      <c r="B674" s="19" t="s">
        <v>5861</v>
      </c>
      <c r="C674" s="19" t="s">
        <v>73</v>
      </c>
      <c r="D674" s="19" t="s">
        <v>5862</v>
      </c>
      <c r="E674" s="19" t="s">
        <v>5863</v>
      </c>
      <c r="F674" s="19" t="s">
        <v>5864</v>
      </c>
      <c r="I674" s="19" t="s">
        <v>5865</v>
      </c>
      <c r="K674" s="19" t="s">
        <v>5866</v>
      </c>
      <c r="M674" s="19" t="s">
        <v>5867</v>
      </c>
      <c r="P674" s="19" t="s">
        <v>5868</v>
      </c>
      <c r="Q674" s="19" t="s">
        <v>5869</v>
      </c>
      <c r="R674" s="19" t="s">
        <v>5870</v>
      </c>
    </row>
    <row r="675" spans="1:18">
      <c r="A675" s="19" t="s">
        <v>26</v>
      </c>
      <c r="B675" s="19" t="s">
        <v>5871</v>
      </c>
      <c r="C675" s="19" t="s">
        <v>73</v>
      </c>
      <c r="D675" s="19" t="s">
        <v>5872</v>
      </c>
      <c r="E675" s="19" t="s">
        <v>5873</v>
      </c>
      <c r="F675" s="19" t="s">
        <v>5874</v>
      </c>
      <c r="I675" s="19" t="s">
        <v>5875</v>
      </c>
      <c r="K675" s="19" t="s">
        <v>5876</v>
      </c>
      <c r="M675" s="19" t="s">
        <v>5877</v>
      </c>
      <c r="P675" s="19" t="s">
        <v>5878</v>
      </c>
      <c r="Q675" s="19" t="s">
        <v>5879</v>
      </c>
      <c r="R675" s="19" t="s">
        <v>5880</v>
      </c>
    </row>
    <row r="676" spans="1:18">
      <c r="A676" s="19" t="s">
        <v>26</v>
      </c>
      <c r="B676" s="19" t="s">
        <v>5881</v>
      </c>
      <c r="C676" s="19" t="s">
        <v>73</v>
      </c>
      <c r="D676" s="19" t="s">
        <v>5882</v>
      </c>
      <c r="E676" s="19" t="s">
        <v>5883</v>
      </c>
      <c r="F676" s="19" t="s">
        <v>5884</v>
      </c>
      <c r="I676" s="19" t="s">
        <v>5885</v>
      </c>
      <c r="K676" s="19" t="s">
        <v>5886</v>
      </c>
      <c r="M676" s="19" t="s">
        <v>5887</v>
      </c>
      <c r="P676" s="19" t="s">
        <v>5888</v>
      </c>
      <c r="Q676" s="19" t="s">
        <v>5889</v>
      </c>
      <c r="R676" s="19" t="s">
        <v>5890</v>
      </c>
    </row>
    <row r="677" spans="1:18">
      <c r="A677" s="19" t="s">
        <v>26</v>
      </c>
      <c r="B677" s="19" t="s">
        <v>5891</v>
      </c>
      <c r="C677" s="19" t="s">
        <v>73</v>
      </c>
      <c r="D677" s="19" t="s">
        <v>5892</v>
      </c>
      <c r="E677" s="19" t="s">
        <v>5893</v>
      </c>
      <c r="F677" s="19" t="s">
        <v>5894</v>
      </c>
      <c r="I677" s="19" t="s">
        <v>5895</v>
      </c>
      <c r="K677" s="19" t="s">
        <v>5896</v>
      </c>
      <c r="M677" s="19" t="s">
        <v>5897</v>
      </c>
      <c r="P677" s="19" t="s">
        <v>5898</v>
      </c>
      <c r="Q677" s="19" t="s">
        <v>5899</v>
      </c>
      <c r="R677" s="19" t="s">
        <v>5900</v>
      </c>
    </row>
    <row r="678" spans="1:18">
      <c r="A678" s="19" t="s">
        <v>26</v>
      </c>
      <c r="B678" s="19" t="s">
        <v>5901</v>
      </c>
      <c r="C678" s="19" t="s">
        <v>73</v>
      </c>
      <c r="D678" s="19" t="s">
        <v>5902</v>
      </c>
      <c r="E678" s="19" t="s">
        <v>5903</v>
      </c>
      <c r="F678" s="19" t="s">
        <v>5904</v>
      </c>
      <c r="I678" s="19" t="s">
        <v>5905</v>
      </c>
      <c r="K678" s="19" t="s">
        <v>5906</v>
      </c>
      <c r="M678" s="19" t="s">
        <v>5907</v>
      </c>
      <c r="P678" s="19" t="s">
        <v>5908</v>
      </c>
      <c r="Q678" s="19" t="s">
        <v>5909</v>
      </c>
      <c r="R678" s="19" t="s">
        <v>5910</v>
      </c>
    </row>
    <row r="679" spans="1:18">
      <c r="A679" s="19" t="s">
        <v>26</v>
      </c>
      <c r="B679" s="19" t="s">
        <v>5911</v>
      </c>
      <c r="C679" s="19" t="s">
        <v>73</v>
      </c>
      <c r="D679" s="19" t="s">
        <v>5912</v>
      </c>
      <c r="E679" s="19" t="s">
        <v>5913</v>
      </c>
      <c r="F679" s="19" t="s">
        <v>5914</v>
      </c>
      <c r="I679" s="19" t="s">
        <v>5915</v>
      </c>
      <c r="K679" s="19" t="s">
        <v>5916</v>
      </c>
      <c r="M679" s="19" t="s">
        <v>5917</v>
      </c>
      <c r="P679" s="19" t="s">
        <v>5918</v>
      </c>
      <c r="Q679" s="19" t="s">
        <v>5919</v>
      </c>
      <c r="R679" s="19" t="s">
        <v>5920</v>
      </c>
    </row>
    <row r="680" spans="1:18">
      <c r="A680" s="19" t="s">
        <v>26</v>
      </c>
      <c r="B680" s="19" t="s">
        <v>5921</v>
      </c>
      <c r="C680" s="19" t="s">
        <v>73</v>
      </c>
      <c r="D680" s="19" t="s">
        <v>5922</v>
      </c>
      <c r="E680" s="19" t="s">
        <v>5923</v>
      </c>
      <c r="F680" s="19" t="s">
        <v>5924</v>
      </c>
      <c r="I680" s="19" t="s">
        <v>5925</v>
      </c>
      <c r="K680" s="19" t="s">
        <v>5926</v>
      </c>
      <c r="M680" s="19" t="s">
        <v>5927</v>
      </c>
      <c r="P680" s="19" t="s">
        <v>5928</v>
      </c>
      <c r="Q680" s="19" t="s">
        <v>5929</v>
      </c>
      <c r="R680" s="19" t="s">
        <v>5930</v>
      </c>
    </row>
    <row r="681" spans="1:18">
      <c r="A681" s="19" t="s">
        <v>26</v>
      </c>
      <c r="B681" s="19" t="s">
        <v>5931</v>
      </c>
      <c r="C681" s="19" t="s">
        <v>73</v>
      </c>
      <c r="D681" s="19" t="s">
        <v>5932</v>
      </c>
      <c r="E681" s="19" t="s">
        <v>5933</v>
      </c>
      <c r="F681" s="19" t="s">
        <v>5934</v>
      </c>
      <c r="I681" s="19" t="s">
        <v>5935</v>
      </c>
      <c r="K681" s="19" t="s">
        <v>5936</v>
      </c>
      <c r="M681" s="19" t="s">
        <v>5937</v>
      </c>
      <c r="P681" s="19" t="s">
        <v>5938</v>
      </c>
      <c r="Q681" s="19" t="s">
        <v>5939</v>
      </c>
      <c r="R681" s="19" t="s">
        <v>5940</v>
      </c>
    </row>
    <row r="682" spans="1:18">
      <c r="A682" s="19" t="s">
        <v>26</v>
      </c>
      <c r="B682" s="19" t="s">
        <v>5941</v>
      </c>
      <c r="C682" s="19" t="s">
        <v>73</v>
      </c>
      <c r="D682" s="19" t="s">
        <v>5942</v>
      </c>
      <c r="E682" s="19" t="s">
        <v>5943</v>
      </c>
      <c r="F682" s="19" t="s">
        <v>5944</v>
      </c>
      <c r="I682" s="19" t="s">
        <v>5945</v>
      </c>
      <c r="K682" s="19" t="s">
        <v>5946</v>
      </c>
      <c r="M682" s="19" t="s">
        <v>5947</v>
      </c>
      <c r="P682" s="19" t="s">
        <v>5948</v>
      </c>
      <c r="Q682" s="19" t="s">
        <v>5949</v>
      </c>
      <c r="R682" s="19" t="s">
        <v>5950</v>
      </c>
    </row>
    <row r="683" spans="1:18">
      <c r="A683" s="19" t="s">
        <v>26</v>
      </c>
      <c r="B683" s="19" t="s">
        <v>5951</v>
      </c>
      <c r="C683" s="19" t="s">
        <v>73</v>
      </c>
      <c r="D683" s="19" t="s">
        <v>5952</v>
      </c>
      <c r="E683" s="19" t="s">
        <v>5953</v>
      </c>
      <c r="F683" s="19" t="s">
        <v>5954</v>
      </c>
      <c r="I683" s="19" t="s">
        <v>5955</v>
      </c>
      <c r="K683" s="19" t="s">
        <v>5956</v>
      </c>
      <c r="M683" s="19" t="s">
        <v>5957</v>
      </c>
      <c r="P683" s="19" t="s">
        <v>5958</v>
      </c>
      <c r="Q683" s="19" t="s">
        <v>5959</v>
      </c>
      <c r="R683" s="19" t="s">
        <v>5960</v>
      </c>
    </row>
    <row r="684" spans="1:18">
      <c r="A684" s="19" t="s">
        <v>26</v>
      </c>
      <c r="B684" s="19" t="s">
        <v>5961</v>
      </c>
      <c r="C684" s="19" t="s">
        <v>73</v>
      </c>
      <c r="D684" s="19" t="s">
        <v>5962</v>
      </c>
      <c r="E684" s="19" t="s">
        <v>5963</v>
      </c>
      <c r="F684" s="19" t="s">
        <v>5964</v>
      </c>
      <c r="I684" s="19" t="s">
        <v>5965</v>
      </c>
      <c r="K684" s="19" t="s">
        <v>5966</v>
      </c>
      <c r="M684" s="19" t="s">
        <v>5967</v>
      </c>
      <c r="P684" s="19" t="s">
        <v>5968</v>
      </c>
      <c r="Q684" s="19" t="s">
        <v>5969</v>
      </c>
      <c r="R684" s="19" t="s">
        <v>5970</v>
      </c>
    </row>
    <row r="685" spans="1:18">
      <c r="A685" s="19" t="s">
        <v>26</v>
      </c>
      <c r="B685" s="19" t="s">
        <v>5971</v>
      </c>
      <c r="C685" s="19" t="s">
        <v>73</v>
      </c>
      <c r="D685" s="19" t="s">
        <v>5972</v>
      </c>
      <c r="E685" s="19" t="s">
        <v>5973</v>
      </c>
      <c r="F685" s="19" t="s">
        <v>5974</v>
      </c>
      <c r="I685" s="19" t="s">
        <v>5975</v>
      </c>
      <c r="K685" s="19" t="s">
        <v>5976</v>
      </c>
      <c r="M685" s="19" t="s">
        <v>5977</v>
      </c>
      <c r="P685" s="19" t="s">
        <v>5978</v>
      </c>
      <c r="Q685" s="19" t="s">
        <v>5979</v>
      </c>
      <c r="R685" s="19" t="s">
        <v>5980</v>
      </c>
    </row>
    <row r="686" spans="1:18">
      <c r="A686" s="19" t="s">
        <v>26</v>
      </c>
      <c r="B686" s="19" t="s">
        <v>5981</v>
      </c>
      <c r="C686" s="19" t="s">
        <v>73</v>
      </c>
      <c r="D686" s="19" t="s">
        <v>5982</v>
      </c>
      <c r="E686" s="19" t="s">
        <v>5983</v>
      </c>
      <c r="F686" s="19" t="s">
        <v>5984</v>
      </c>
      <c r="I686" s="19" t="s">
        <v>5985</v>
      </c>
      <c r="K686" s="19" t="s">
        <v>5986</v>
      </c>
      <c r="M686" s="19" t="s">
        <v>5987</v>
      </c>
      <c r="P686" s="19" t="s">
        <v>5988</v>
      </c>
      <c r="Q686" s="19" t="s">
        <v>5989</v>
      </c>
      <c r="R686" s="19" t="s">
        <v>5990</v>
      </c>
    </row>
    <row r="687" spans="1:18">
      <c r="A687" s="19" t="s">
        <v>26</v>
      </c>
      <c r="B687" s="19" t="s">
        <v>5991</v>
      </c>
      <c r="C687" s="19" t="s">
        <v>73</v>
      </c>
      <c r="D687" s="19" t="s">
        <v>5992</v>
      </c>
      <c r="E687" s="19" t="s">
        <v>5993</v>
      </c>
      <c r="F687" s="19" t="s">
        <v>5994</v>
      </c>
      <c r="I687" s="19" t="s">
        <v>5995</v>
      </c>
      <c r="K687" s="19" t="s">
        <v>5996</v>
      </c>
      <c r="M687" s="19" t="s">
        <v>5997</v>
      </c>
      <c r="P687" s="19" t="s">
        <v>5998</v>
      </c>
      <c r="Q687" s="19" t="s">
        <v>5999</v>
      </c>
      <c r="R687" s="19" t="s">
        <v>6000</v>
      </c>
    </row>
    <row r="688" spans="1:18">
      <c r="A688" s="19" t="s">
        <v>26</v>
      </c>
      <c r="B688" s="19" t="s">
        <v>6001</v>
      </c>
      <c r="C688" s="19" t="s">
        <v>73</v>
      </c>
      <c r="D688" s="19" t="s">
        <v>6002</v>
      </c>
      <c r="E688" s="19" t="s">
        <v>6003</v>
      </c>
      <c r="F688" s="19" t="s">
        <v>6004</v>
      </c>
      <c r="I688" s="19" t="s">
        <v>6005</v>
      </c>
      <c r="K688" s="19" t="s">
        <v>6006</v>
      </c>
      <c r="M688" s="19" t="s">
        <v>6007</v>
      </c>
      <c r="P688" s="19" t="s">
        <v>6008</v>
      </c>
      <c r="Q688" s="19" t="s">
        <v>6009</v>
      </c>
      <c r="R688" s="19" t="s">
        <v>6010</v>
      </c>
    </row>
    <row r="689" spans="1:18">
      <c r="A689" s="19" t="s">
        <v>26</v>
      </c>
      <c r="B689" s="19" t="s">
        <v>6011</v>
      </c>
      <c r="C689" s="19" t="s">
        <v>73</v>
      </c>
      <c r="D689" s="19" t="s">
        <v>6012</v>
      </c>
      <c r="E689" s="19" t="s">
        <v>6013</v>
      </c>
      <c r="F689" s="19" t="s">
        <v>6014</v>
      </c>
      <c r="I689" s="19" t="s">
        <v>6015</v>
      </c>
      <c r="K689" s="19" t="s">
        <v>6016</v>
      </c>
      <c r="M689" s="19" t="s">
        <v>6017</v>
      </c>
      <c r="P689" s="19" t="s">
        <v>6018</v>
      </c>
      <c r="Q689" s="19" t="s">
        <v>6019</v>
      </c>
      <c r="R689" s="19" t="s">
        <v>6020</v>
      </c>
    </row>
    <row r="690" spans="1:18">
      <c r="A690" s="19" t="s">
        <v>26</v>
      </c>
      <c r="B690" s="19" t="s">
        <v>6021</v>
      </c>
      <c r="C690" s="19" t="s">
        <v>73</v>
      </c>
      <c r="D690" s="19" t="s">
        <v>6022</v>
      </c>
      <c r="E690" s="19" t="s">
        <v>6023</v>
      </c>
      <c r="F690" s="19" t="s">
        <v>6024</v>
      </c>
      <c r="I690" s="19" t="s">
        <v>6025</v>
      </c>
      <c r="K690" s="19" t="s">
        <v>6026</v>
      </c>
      <c r="M690" s="19" t="s">
        <v>6027</v>
      </c>
      <c r="P690" s="19" t="s">
        <v>6028</v>
      </c>
      <c r="Q690" s="19" t="s">
        <v>6029</v>
      </c>
      <c r="R690" s="19" t="s">
        <v>6030</v>
      </c>
    </row>
    <row r="691" spans="1:18">
      <c r="A691" s="19" t="s">
        <v>26</v>
      </c>
      <c r="B691" s="19" t="s">
        <v>6031</v>
      </c>
      <c r="C691" s="19" t="s">
        <v>73</v>
      </c>
      <c r="D691" s="19" t="s">
        <v>6032</v>
      </c>
      <c r="E691" s="19" t="s">
        <v>6033</v>
      </c>
      <c r="F691" s="19" t="s">
        <v>6034</v>
      </c>
      <c r="I691" s="19" t="s">
        <v>6035</v>
      </c>
      <c r="K691" s="19" t="s">
        <v>6036</v>
      </c>
      <c r="M691" s="19" t="s">
        <v>6037</v>
      </c>
      <c r="P691" s="19" t="s">
        <v>6038</v>
      </c>
      <c r="Q691" s="19" t="s">
        <v>6039</v>
      </c>
      <c r="R691" s="19" t="s">
        <v>6040</v>
      </c>
    </row>
    <row r="692" spans="1:18">
      <c r="A692" s="19" t="s">
        <v>26</v>
      </c>
      <c r="B692" s="19" t="s">
        <v>6041</v>
      </c>
      <c r="C692" s="19" t="s">
        <v>73</v>
      </c>
      <c r="D692" s="19" t="s">
        <v>6042</v>
      </c>
      <c r="E692" s="19" t="s">
        <v>6043</v>
      </c>
      <c r="F692" s="19" t="s">
        <v>6044</v>
      </c>
      <c r="I692" s="19" t="s">
        <v>6045</v>
      </c>
      <c r="K692" s="19" t="s">
        <v>6046</v>
      </c>
      <c r="M692" s="19" t="s">
        <v>6047</v>
      </c>
      <c r="P692" s="19" t="s">
        <v>6048</v>
      </c>
      <c r="Q692" s="19" t="s">
        <v>6049</v>
      </c>
      <c r="R692" s="19" t="s">
        <v>6050</v>
      </c>
    </row>
    <row r="693" spans="1:18">
      <c r="A693" s="19" t="s">
        <v>26</v>
      </c>
      <c r="B693" s="19" t="s">
        <v>6051</v>
      </c>
      <c r="C693" s="19" t="s">
        <v>73</v>
      </c>
      <c r="D693" s="19" t="s">
        <v>6052</v>
      </c>
      <c r="E693" s="19" t="s">
        <v>6053</v>
      </c>
      <c r="F693" s="19" t="s">
        <v>6054</v>
      </c>
      <c r="I693" s="19" t="s">
        <v>6055</v>
      </c>
      <c r="K693" s="19" t="s">
        <v>6056</v>
      </c>
      <c r="M693" s="19" t="s">
        <v>6057</v>
      </c>
      <c r="P693" s="19" t="s">
        <v>6058</v>
      </c>
      <c r="Q693" s="19" t="s">
        <v>6059</v>
      </c>
      <c r="R693" s="19" t="s">
        <v>6060</v>
      </c>
    </row>
    <row r="694" spans="1:18">
      <c r="A694" s="19" t="s">
        <v>26</v>
      </c>
      <c r="B694" s="19" t="s">
        <v>6061</v>
      </c>
      <c r="C694" s="19" t="s">
        <v>73</v>
      </c>
      <c r="D694" s="19" t="s">
        <v>6062</v>
      </c>
      <c r="E694" s="19" t="s">
        <v>6063</v>
      </c>
      <c r="F694" s="19" t="s">
        <v>6064</v>
      </c>
      <c r="I694" s="19" t="s">
        <v>6065</v>
      </c>
      <c r="K694" s="19" t="s">
        <v>6066</v>
      </c>
      <c r="M694" s="19" t="s">
        <v>6067</v>
      </c>
      <c r="P694" s="19" t="s">
        <v>6068</v>
      </c>
      <c r="Q694" s="19" t="s">
        <v>6069</v>
      </c>
      <c r="R694" s="19" t="s">
        <v>6070</v>
      </c>
    </row>
    <row r="695" spans="1:18">
      <c r="A695" s="19" t="s">
        <v>26</v>
      </c>
      <c r="B695" s="19" t="s">
        <v>6071</v>
      </c>
      <c r="C695" s="19" t="s">
        <v>73</v>
      </c>
      <c r="D695" s="19" t="s">
        <v>6072</v>
      </c>
      <c r="E695" s="19" t="s">
        <v>6073</v>
      </c>
      <c r="F695" s="19" t="s">
        <v>6074</v>
      </c>
      <c r="I695" s="19" t="s">
        <v>6075</v>
      </c>
      <c r="K695" s="19" t="s">
        <v>6076</v>
      </c>
      <c r="M695" s="19" t="s">
        <v>6077</v>
      </c>
      <c r="P695" s="19" t="s">
        <v>6078</v>
      </c>
      <c r="Q695" s="19" t="s">
        <v>6079</v>
      </c>
      <c r="R695" s="19" t="s">
        <v>6080</v>
      </c>
    </row>
    <row r="696" spans="1:18">
      <c r="A696" s="19" t="s">
        <v>26</v>
      </c>
      <c r="B696" s="19" t="s">
        <v>6081</v>
      </c>
      <c r="C696" s="19" t="s">
        <v>73</v>
      </c>
      <c r="D696" s="19" t="s">
        <v>6082</v>
      </c>
      <c r="E696" s="19" t="s">
        <v>6083</v>
      </c>
      <c r="F696" s="19" t="s">
        <v>6084</v>
      </c>
      <c r="I696" s="19" t="s">
        <v>6085</v>
      </c>
      <c r="K696" s="19" t="s">
        <v>6086</v>
      </c>
      <c r="M696" s="19" t="s">
        <v>6087</v>
      </c>
      <c r="P696" s="19" t="s">
        <v>6088</v>
      </c>
      <c r="Q696" s="19" t="s">
        <v>6089</v>
      </c>
      <c r="R696" s="19" t="s">
        <v>6090</v>
      </c>
    </row>
    <row r="697" spans="1:18">
      <c r="A697" s="19" t="s">
        <v>26</v>
      </c>
      <c r="B697" s="19" t="s">
        <v>6091</v>
      </c>
      <c r="C697" s="19" t="s">
        <v>73</v>
      </c>
      <c r="D697" s="19" t="s">
        <v>6092</v>
      </c>
      <c r="E697" s="19" t="s">
        <v>6093</v>
      </c>
      <c r="F697" s="19" t="s">
        <v>6094</v>
      </c>
      <c r="I697" s="19" t="s">
        <v>6095</v>
      </c>
      <c r="K697" s="19" t="s">
        <v>6096</v>
      </c>
      <c r="M697" s="19" t="s">
        <v>6097</v>
      </c>
      <c r="P697" s="19" t="s">
        <v>6098</v>
      </c>
      <c r="Q697" s="19" t="s">
        <v>6099</v>
      </c>
      <c r="R697" s="19" t="s">
        <v>6100</v>
      </c>
    </row>
    <row r="698" spans="1:18">
      <c r="A698" s="19" t="s">
        <v>26</v>
      </c>
      <c r="B698" s="19" t="s">
        <v>6101</v>
      </c>
      <c r="C698" s="19" t="s">
        <v>73</v>
      </c>
      <c r="D698" s="19" t="s">
        <v>6102</v>
      </c>
      <c r="E698" s="19" t="s">
        <v>6103</v>
      </c>
      <c r="F698" s="19" t="s">
        <v>6104</v>
      </c>
      <c r="I698" s="19" t="s">
        <v>6105</v>
      </c>
      <c r="K698" s="19" t="s">
        <v>6106</v>
      </c>
      <c r="M698" s="19" t="s">
        <v>6107</v>
      </c>
      <c r="P698" s="19" t="s">
        <v>6108</v>
      </c>
      <c r="Q698" s="19" t="s">
        <v>6109</v>
      </c>
      <c r="R698" s="19" t="s">
        <v>6110</v>
      </c>
    </row>
    <row r="699" spans="1:18">
      <c r="A699" s="19" t="s">
        <v>26</v>
      </c>
      <c r="B699" s="19" t="s">
        <v>6111</v>
      </c>
      <c r="C699" s="19" t="s">
        <v>73</v>
      </c>
      <c r="D699" s="19" t="s">
        <v>6112</v>
      </c>
      <c r="E699" s="19" t="s">
        <v>6113</v>
      </c>
      <c r="F699" s="19" t="s">
        <v>6114</v>
      </c>
      <c r="I699" s="19" t="s">
        <v>6115</v>
      </c>
      <c r="K699" s="19" t="s">
        <v>6116</v>
      </c>
      <c r="M699" s="19" t="s">
        <v>6117</v>
      </c>
      <c r="P699" s="19" t="s">
        <v>6118</v>
      </c>
      <c r="Q699" s="19" t="s">
        <v>6119</v>
      </c>
      <c r="R699" s="19" t="s">
        <v>6120</v>
      </c>
    </row>
    <row r="700" spans="1:18">
      <c r="A700" s="19" t="s">
        <v>26</v>
      </c>
      <c r="B700" s="19" t="s">
        <v>6121</v>
      </c>
      <c r="C700" s="19" t="s">
        <v>73</v>
      </c>
      <c r="D700" s="19" t="s">
        <v>6122</v>
      </c>
      <c r="E700" s="19" t="s">
        <v>6123</v>
      </c>
      <c r="F700" s="19" t="s">
        <v>6124</v>
      </c>
      <c r="I700" s="19" t="s">
        <v>6125</v>
      </c>
      <c r="K700" s="19" t="s">
        <v>6126</v>
      </c>
      <c r="M700" s="19" t="s">
        <v>6127</v>
      </c>
      <c r="P700" s="19" t="s">
        <v>6128</v>
      </c>
      <c r="Q700" s="19" t="s">
        <v>6129</v>
      </c>
      <c r="R700" s="19" t="s">
        <v>6130</v>
      </c>
    </row>
    <row r="701" spans="1:18">
      <c r="A701" s="19" t="s">
        <v>26</v>
      </c>
      <c r="B701" s="19" t="s">
        <v>6131</v>
      </c>
      <c r="C701" s="19" t="s">
        <v>73</v>
      </c>
      <c r="D701" s="19" t="s">
        <v>6132</v>
      </c>
      <c r="E701" s="19" t="s">
        <v>6133</v>
      </c>
      <c r="F701" s="19" t="s">
        <v>6134</v>
      </c>
      <c r="I701" s="19" t="s">
        <v>6135</v>
      </c>
      <c r="K701" s="19" t="s">
        <v>6136</v>
      </c>
      <c r="M701" s="19" t="s">
        <v>6137</v>
      </c>
      <c r="P701" s="19" t="s">
        <v>6138</v>
      </c>
      <c r="Q701" s="19" t="s">
        <v>6139</v>
      </c>
      <c r="R701" s="19" t="s">
        <v>6140</v>
      </c>
    </row>
    <row r="702" spans="1:18">
      <c r="A702" s="19" t="s">
        <v>26</v>
      </c>
      <c r="B702" s="19" t="s">
        <v>6141</v>
      </c>
      <c r="C702" s="19" t="s">
        <v>73</v>
      </c>
      <c r="D702" s="19" t="s">
        <v>6142</v>
      </c>
      <c r="E702" s="19" t="s">
        <v>6143</v>
      </c>
      <c r="F702" s="19" t="s">
        <v>6144</v>
      </c>
      <c r="I702" s="19" t="s">
        <v>6145</v>
      </c>
      <c r="K702" s="19" t="s">
        <v>6146</v>
      </c>
      <c r="M702" s="19" t="s">
        <v>6147</v>
      </c>
      <c r="P702" s="19" t="s">
        <v>6148</v>
      </c>
      <c r="Q702" s="19" t="s">
        <v>6149</v>
      </c>
      <c r="R702" s="19" t="s">
        <v>6150</v>
      </c>
    </row>
    <row r="703" spans="1:18">
      <c r="A703" s="19" t="s">
        <v>26</v>
      </c>
      <c r="B703" s="19" t="s">
        <v>6151</v>
      </c>
      <c r="C703" s="19" t="s">
        <v>73</v>
      </c>
      <c r="D703" s="19" t="s">
        <v>6152</v>
      </c>
      <c r="E703" s="19" t="s">
        <v>6153</v>
      </c>
      <c r="F703" s="19" t="s">
        <v>6154</v>
      </c>
      <c r="I703" s="19" t="s">
        <v>6155</v>
      </c>
      <c r="K703" s="19" t="s">
        <v>6156</v>
      </c>
      <c r="M703" s="19" t="s">
        <v>6157</v>
      </c>
      <c r="P703" s="19" t="s">
        <v>6158</v>
      </c>
      <c r="Q703" s="19" t="s">
        <v>6159</v>
      </c>
      <c r="R703" s="19" t="s">
        <v>6160</v>
      </c>
    </row>
    <row r="704" spans="1:18">
      <c r="A704" s="19" t="s">
        <v>26</v>
      </c>
      <c r="B704" s="19" t="s">
        <v>6161</v>
      </c>
      <c r="C704" s="19" t="s">
        <v>73</v>
      </c>
      <c r="D704" s="19" t="s">
        <v>6162</v>
      </c>
      <c r="E704" s="19" t="s">
        <v>6163</v>
      </c>
      <c r="F704" s="19" t="s">
        <v>6164</v>
      </c>
      <c r="I704" s="19" t="s">
        <v>6165</v>
      </c>
      <c r="K704" s="19" t="s">
        <v>6166</v>
      </c>
      <c r="M704" s="19" t="s">
        <v>6167</v>
      </c>
      <c r="P704" s="19" t="s">
        <v>6168</v>
      </c>
      <c r="Q704" s="19" t="s">
        <v>6169</v>
      </c>
      <c r="R704" s="19" t="s">
        <v>6170</v>
      </c>
    </row>
    <row r="705" spans="1:18">
      <c r="A705" s="19" t="s">
        <v>26</v>
      </c>
      <c r="B705" s="19" t="s">
        <v>6171</v>
      </c>
      <c r="C705" s="19" t="s">
        <v>73</v>
      </c>
      <c r="D705" s="19" t="s">
        <v>6172</v>
      </c>
      <c r="E705" s="19" t="s">
        <v>6173</v>
      </c>
      <c r="F705" s="19" t="s">
        <v>6174</v>
      </c>
      <c r="I705" s="19" t="s">
        <v>6175</v>
      </c>
      <c r="K705" s="19" t="s">
        <v>6176</v>
      </c>
      <c r="M705" s="19" t="s">
        <v>6177</v>
      </c>
      <c r="P705" s="19" t="s">
        <v>6178</v>
      </c>
      <c r="Q705" s="19" t="s">
        <v>6179</v>
      </c>
      <c r="R705" s="19" t="s">
        <v>6180</v>
      </c>
    </row>
    <row r="706" spans="1:18">
      <c r="A706" s="19" t="s">
        <v>26</v>
      </c>
      <c r="B706" s="19" t="s">
        <v>6181</v>
      </c>
      <c r="C706" s="19" t="s">
        <v>73</v>
      </c>
      <c r="D706" s="19" t="s">
        <v>6182</v>
      </c>
      <c r="E706" s="19" t="s">
        <v>6183</v>
      </c>
      <c r="F706" s="19" t="s">
        <v>6184</v>
      </c>
      <c r="I706" s="19" t="s">
        <v>6185</v>
      </c>
      <c r="K706" s="19" t="s">
        <v>6186</v>
      </c>
      <c r="M706" s="19" t="s">
        <v>6187</v>
      </c>
      <c r="P706" s="19" t="s">
        <v>6188</v>
      </c>
      <c r="Q706" s="19" t="s">
        <v>6189</v>
      </c>
      <c r="R706" s="19" t="s">
        <v>6190</v>
      </c>
    </row>
    <row r="707" spans="1:18">
      <c r="A707" s="19" t="s">
        <v>26</v>
      </c>
      <c r="B707" s="19" t="s">
        <v>6191</v>
      </c>
      <c r="C707" s="19" t="s">
        <v>73</v>
      </c>
      <c r="D707" s="19" t="s">
        <v>6192</v>
      </c>
      <c r="E707" s="19" t="s">
        <v>6193</v>
      </c>
      <c r="F707" s="19" t="s">
        <v>6194</v>
      </c>
      <c r="I707" s="19" t="s">
        <v>6195</v>
      </c>
      <c r="K707" s="19" t="s">
        <v>6196</v>
      </c>
      <c r="M707" s="19" t="s">
        <v>6197</v>
      </c>
      <c r="P707" s="19" t="s">
        <v>6198</v>
      </c>
      <c r="Q707" s="19" t="s">
        <v>6199</v>
      </c>
      <c r="R707" s="19" t="s">
        <v>6200</v>
      </c>
    </row>
    <row r="708" spans="1:18">
      <c r="A708" s="19" t="s">
        <v>26</v>
      </c>
      <c r="B708" s="19" t="s">
        <v>6201</v>
      </c>
      <c r="C708" s="19" t="s">
        <v>73</v>
      </c>
      <c r="D708" s="19" t="s">
        <v>6202</v>
      </c>
      <c r="E708" s="19" t="s">
        <v>6203</v>
      </c>
      <c r="F708" s="19" t="s">
        <v>6204</v>
      </c>
      <c r="I708" s="19" t="s">
        <v>6205</v>
      </c>
      <c r="K708" s="19" t="s">
        <v>6206</v>
      </c>
      <c r="M708" s="19" t="s">
        <v>6207</v>
      </c>
      <c r="P708" s="19" t="s">
        <v>6208</v>
      </c>
      <c r="Q708" s="19" t="s">
        <v>6209</v>
      </c>
      <c r="R708" s="19" t="s">
        <v>6210</v>
      </c>
    </row>
    <row r="709" spans="1:18">
      <c r="A709" s="19" t="s">
        <v>26</v>
      </c>
      <c r="B709" s="19" t="s">
        <v>6211</v>
      </c>
      <c r="C709" s="19" t="s">
        <v>73</v>
      </c>
      <c r="D709" s="19" t="s">
        <v>6212</v>
      </c>
      <c r="E709" s="19" t="s">
        <v>6213</v>
      </c>
      <c r="F709" s="19" t="s">
        <v>6214</v>
      </c>
      <c r="I709" s="19" t="s">
        <v>6215</v>
      </c>
      <c r="K709" s="19" t="s">
        <v>6216</v>
      </c>
      <c r="M709" s="19" t="s">
        <v>6217</v>
      </c>
      <c r="P709" s="19" t="s">
        <v>6218</v>
      </c>
      <c r="Q709" s="19" t="s">
        <v>6219</v>
      </c>
      <c r="R709" s="19" t="s">
        <v>6220</v>
      </c>
    </row>
    <row r="710" spans="1:18">
      <c r="A710" s="19" t="s">
        <v>26</v>
      </c>
      <c r="B710" s="19" t="s">
        <v>6221</v>
      </c>
      <c r="C710" s="19" t="s">
        <v>73</v>
      </c>
      <c r="D710" s="19" t="s">
        <v>6222</v>
      </c>
      <c r="E710" s="19" t="s">
        <v>6223</v>
      </c>
      <c r="F710" s="19" t="s">
        <v>6224</v>
      </c>
      <c r="I710" s="19" t="s">
        <v>6225</v>
      </c>
      <c r="K710" s="19" t="s">
        <v>6226</v>
      </c>
      <c r="M710" s="19" t="s">
        <v>6227</v>
      </c>
      <c r="P710" s="19" t="s">
        <v>6228</v>
      </c>
      <c r="Q710" s="19" t="s">
        <v>6229</v>
      </c>
      <c r="R710" s="19" t="s">
        <v>6230</v>
      </c>
    </row>
    <row r="711" spans="1:18">
      <c r="A711" s="19" t="s">
        <v>26</v>
      </c>
      <c r="B711" s="19" t="s">
        <v>6231</v>
      </c>
      <c r="C711" s="19" t="s">
        <v>73</v>
      </c>
      <c r="D711" s="19" t="s">
        <v>6232</v>
      </c>
      <c r="E711" s="19" t="s">
        <v>6233</v>
      </c>
      <c r="F711" s="19" t="s">
        <v>6234</v>
      </c>
      <c r="I711" s="19" t="s">
        <v>6235</v>
      </c>
      <c r="K711" s="19" t="s">
        <v>6236</v>
      </c>
      <c r="M711" s="19" t="s">
        <v>6237</v>
      </c>
      <c r="P711" s="19" t="s">
        <v>6238</v>
      </c>
      <c r="Q711" s="19" t="s">
        <v>6239</v>
      </c>
      <c r="R711" s="19" t="s">
        <v>6240</v>
      </c>
    </row>
    <row r="712" spans="1:18">
      <c r="A712" s="19" t="s">
        <v>26</v>
      </c>
      <c r="B712" s="19" t="s">
        <v>6241</v>
      </c>
      <c r="C712" s="19" t="s">
        <v>73</v>
      </c>
      <c r="D712" s="19" t="s">
        <v>6242</v>
      </c>
      <c r="E712" s="19" t="s">
        <v>6243</v>
      </c>
      <c r="F712" s="19" t="s">
        <v>6244</v>
      </c>
      <c r="I712" s="19" t="s">
        <v>6245</v>
      </c>
      <c r="K712" s="19" t="s">
        <v>6246</v>
      </c>
      <c r="M712" s="19" t="s">
        <v>6247</v>
      </c>
      <c r="P712" s="19" t="s">
        <v>6248</v>
      </c>
      <c r="Q712" s="19" t="s">
        <v>6249</v>
      </c>
      <c r="R712" s="19" t="s">
        <v>6250</v>
      </c>
    </row>
    <row r="713" spans="1:18">
      <c r="A713" s="19" t="s">
        <v>26</v>
      </c>
      <c r="B713" s="19" t="s">
        <v>6251</v>
      </c>
      <c r="C713" s="19" t="s">
        <v>73</v>
      </c>
      <c r="D713" s="19" t="s">
        <v>6252</v>
      </c>
      <c r="E713" s="19" t="s">
        <v>6253</v>
      </c>
      <c r="F713" s="19" t="s">
        <v>6254</v>
      </c>
      <c r="I713" s="19" t="s">
        <v>6255</v>
      </c>
      <c r="K713" s="19" t="s">
        <v>6256</v>
      </c>
      <c r="M713" s="19" t="s">
        <v>6257</v>
      </c>
      <c r="P713" s="19" t="s">
        <v>6258</v>
      </c>
      <c r="Q713" s="19" t="s">
        <v>6259</v>
      </c>
      <c r="R713" s="19" t="s">
        <v>6260</v>
      </c>
    </row>
    <row r="714" spans="1:18">
      <c r="A714" s="19" t="s">
        <v>26</v>
      </c>
      <c r="B714" s="19" t="s">
        <v>6261</v>
      </c>
      <c r="C714" s="19" t="s">
        <v>73</v>
      </c>
      <c r="D714" s="19" t="s">
        <v>6262</v>
      </c>
      <c r="E714" s="19" t="s">
        <v>6263</v>
      </c>
      <c r="F714" s="19" t="s">
        <v>6264</v>
      </c>
      <c r="I714" s="19" t="s">
        <v>6265</v>
      </c>
      <c r="K714" s="19" t="s">
        <v>6266</v>
      </c>
      <c r="M714" s="19" t="s">
        <v>6267</v>
      </c>
      <c r="P714" s="19" t="s">
        <v>6268</v>
      </c>
      <c r="Q714" s="19" t="s">
        <v>6269</v>
      </c>
      <c r="R714" s="19" t="s">
        <v>6270</v>
      </c>
    </row>
    <row r="715" spans="1:18">
      <c r="A715" s="19" t="s">
        <v>26</v>
      </c>
      <c r="B715" s="19" t="s">
        <v>6271</v>
      </c>
      <c r="C715" s="19" t="s">
        <v>73</v>
      </c>
      <c r="D715" s="19" t="s">
        <v>6272</v>
      </c>
      <c r="E715" s="19" t="s">
        <v>6273</v>
      </c>
      <c r="F715" s="19" t="s">
        <v>6274</v>
      </c>
      <c r="I715" s="19" t="s">
        <v>6275</v>
      </c>
      <c r="K715" s="19" t="s">
        <v>6276</v>
      </c>
      <c r="M715" s="19" t="s">
        <v>6277</v>
      </c>
      <c r="P715" s="19" t="s">
        <v>6278</v>
      </c>
      <c r="Q715" s="19" t="s">
        <v>6279</v>
      </c>
      <c r="R715" s="19" t="s">
        <v>6280</v>
      </c>
    </row>
    <row r="716" spans="1:18">
      <c r="A716" s="19" t="s">
        <v>26</v>
      </c>
      <c r="B716" s="19" t="s">
        <v>6281</v>
      </c>
      <c r="C716" s="19" t="s">
        <v>73</v>
      </c>
      <c r="D716" s="19" t="s">
        <v>6282</v>
      </c>
      <c r="E716" s="19" t="s">
        <v>6283</v>
      </c>
      <c r="F716" s="19" t="s">
        <v>6284</v>
      </c>
      <c r="I716" s="19" t="s">
        <v>6285</v>
      </c>
      <c r="K716" s="19" t="s">
        <v>6286</v>
      </c>
      <c r="M716" s="19" t="s">
        <v>6287</v>
      </c>
      <c r="P716" s="19" t="s">
        <v>6288</v>
      </c>
      <c r="Q716" s="19" t="s">
        <v>6289</v>
      </c>
      <c r="R716" s="19" t="s">
        <v>6290</v>
      </c>
    </row>
    <row r="717" spans="1:18">
      <c r="A717" s="19" t="s">
        <v>26</v>
      </c>
      <c r="B717" s="19" t="s">
        <v>6291</v>
      </c>
      <c r="C717" s="19" t="s">
        <v>73</v>
      </c>
      <c r="D717" s="19" t="s">
        <v>6292</v>
      </c>
      <c r="E717" s="19" t="s">
        <v>6293</v>
      </c>
      <c r="F717" s="19" t="s">
        <v>6294</v>
      </c>
      <c r="I717" s="19" t="s">
        <v>6295</v>
      </c>
      <c r="K717" s="19" t="s">
        <v>6296</v>
      </c>
      <c r="M717" s="19" t="s">
        <v>6297</v>
      </c>
      <c r="P717" s="19" t="s">
        <v>6298</v>
      </c>
      <c r="Q717" s="19" t="s">
        <v>6299</v>
      </c>
      <c r="R717" s="19" t="s">
        <v>6300</v>
      </c>
    </row>
    <row r="718" spans="1:18">
      <c r="A718" s="19" t="s">
        <v>26</v>
      </c>
      <c r="B718" s="19" t="s">
        <v>6301</v>
      </c>
      <c r="C718" s="19" t="s">
        <v>73</v>
      </c>
      <c r="D718" s="19" t="s">
        <v>6302</v>
      </c>
      <c r="E718" s="19" t="s">
        <v>6303</v>
      </c>
      <c r="F718" s="19" t="s">
        <v>6304</v>
      </c>
      <c r="I718" s="19" t="s">
        <v>6305</v>
      </c>
      <c r="K718" s="19" t="s">
        <v>6306</v>
      </c>
      <c r="M718" s="19" t="s">
        <v>6307</v>
      </c>
      <c r="P718" s="19" t="s">
        <v>6308</v>
      </c>
      <c r="Q718" s="19" t="s">
        <v>6309</v>
      </c>
      <c r="R718" s="19" t="s">
        <v>6310</v>
      </c>
    </row>
    <row r="719" spans="1:18">
      <c r="A719" s="19" t="s">
        <v>26</v>
      </c>
      <c r="B719" s="19" t="s">
        <v>6311</v>
      </c>
      <c r="C719" s="19" t="s">
        <v>73</v>
      </c>
      <c r="D719" s="19" t="s">
        <v>6312</v>
      </c>
      <c r="E719" s="19" t="s">
        <v>6313</v>
      </c>
      <c r="F719" s="19" t="s">
        <v>6314</v>
      </c>
      <c r="I719" s="19" t="s">
        <v>6315</v>
      </c>
      <c r="K719" s="19" t="s">
        <v>6316</v>
      </c>
      <c r="M719" s="19" t="s">
        <v>6317</v>
      </c>
      <c r="P719" s="19" t="s">
        <v>6318</v>
      </c>
      <c r="Q719" s="19" t="s">
        <v>6319</v>
      </c>
      <c r="R719" s="19" t="s">
        <v>6320</v>
      </c>
    </row>
    <row r="720" spans="1:18">
      <c r="A720" s="19" t="s">
        <v>26</v>
      </c>
      <c r="B720" s="19" t="s">
        <v>6321</v>
      </c>
      <c r="C720" s="19" t="s">
        <v>73</v>
      </c>
      <c r="D720" s="19" t="s">
        <v>6322</v>
      </c>
      <c r="E720" s="19" t="s">
        <v>6323</v>
      </c>
      <c r="F720" s="19" t="s">
        <v>6324</v>
      </c>
      <c r="I720" s="19" t="s">
        <v>6325</v>
      </c>
      <c r="K720" s="19" t="s">
        <v>6326</v>
      </c>
      <c r="M720" s="19" t="s">
        <v>6327</v>
      </c>
      <c r="P720" s="19" t="s">
        <v>6328</v>
      </c>
      <c r="Q720" s="19" t="s">
        <v>6329</v>
      </c>
      <c r="R720" s="19" t="s">
        <v>6330</v>
      </c>
    </row>
    <row r="721" spans="1:18">
      <c r="A721" s="19" t="s">
        <v>26</v>
      </c>
      <c r="B721" s="19" t="s">
        <v>6331</v>
      </c>
      <c r="C721" s="19" t="s">
        <v>73</v>
      </c>
      <c r="D721" s="19" t="s">
        <v>6332</v>
      </c>
      <c r="E721" s="19" t="s">
        <v>6333</v>
      </c>
      <c r="F721" s="19" t="s">
        <v>6334</v>
      </c>
      <c r="I721" s="19" t="s">
        <v>6335</v>
      </c>
      <c r="K721" s="19" t="s">
        <v>6336</v>
      </c>
      <c r="M721" s="19" t="s">
        <v>6337</v>
      </c>
      <c r="P721" s="19" t="s">
        <v>6338</v>
      </c>
      <c r="Q721" s="19" t="s">
        <v>6339</v>
      </c>
      <c r="R721" s="19" t="s">
        <v>6340</v>
      </c>
    </row>
    <row r="722" spans="1:18">
      <c r="A722" s="19" t="s">
        <v>26</v>
      </c>
      <c r="B722" s="19" t="s">
        <v>6341</v>
      </c>
      <c r="C722" s="19" t="s">
        <v>73</v>
      </c>
      <c r="D722" s="19" t="s">
        <v>6342</v>
      </c>
      <c r="E722" s="19" t="s">
        <v>6343</v>
      </c>
      <c r="F722" s="19" t="s">
        <v>6344</v>
      </c>
      <c r="I722" s="19" t="s">
        <v>6345</v>
      </c>
      <c r="K722" s="19" t="s">
        <v>6346</v>
      </c>
      <c r="M722" s="19" t="s">
        <v>6347</v>
      </c>
      <c r="P722" s="19" t="s">
        <v>6348</v>
      </c>
      <c r="Q722" s="19" t="s">
        <v>6349</v>
      </c>
      <c r="R722" s="19" t="s">
        <v>6350</v>
      </c>
    </row>
    <row r="723" spans="1:18">
      <c r="A723" s="19" t="s">
        <v>26</v>
      </c>
      <c r="B723" s="19" t="s">
        <v>6351</v>
      </c>
      <c r="C723" s="19" t="s">
        <v>73</v>
      </c>
      <c r="D723" s="19" t="s">
        <v>6352</v>
      </c>
      <c r="E723" s="19" t="s">
        <v>6353</v>
      </c>
      <c r="F723" s="19" t="s">
        <v>6354</v>
      </c>
      <c r="I723" s="19" t="s">
        <v>6355</v>
      </c>
      <c r="K723" s="19" t="s">
        <v>6356</v>
      </c>
      <c r="M723" s="19" t="s">
        <v>6357</v>
      </c>
      <c r="P723" s="19" t="s">
        <v>6358</v>
      </c>
      <c r="Q723" s="19" t="s">
        <v>6359</v>
      </c>
      <c r="R723" s="19" t="s">
        <v>6360</v>
      </c>
    </row>
    <row r="724" spans="1:18">
      <c r="A724" s="19" t="s">
        <v>26</v>
      </c>
      <c r="B724" s="19" t="s">
        <v>6361</v>
      </c>
      <c r="C724" s="19" t="s">
        <v>73</v>
      </c>
      <c r="D724" s="19" t="s">
        <v>6362</v>
      </c>
      <c r="E724" s="19" t="s">
        <v>6363</v>
      </c>
      <c r="F724" s="19" t="s">
        <v>6364</v>
      </c>
      <c r="I724" s="19" t="s">
        <v>6365</v>
      </c>
      <c r="K724" s="19" t="s">
        <v>6366</v>
      </c>
      <c r="M724" s="19" t="s">
        <v>6367</v>
      </c>
      <c r="P724" s="19" t="s">
        <v>6368</v>
      </c>
      <c r="Q724" s="19" t="s">
        <v>6369</v>
      </c>
      <c r="R724" s="19" t="s">
        <v>6370</v>
      </c>
    </row>
    <row r="725" spans="1:18">
      <c r="A725" s="19" t="s">
        <v>26</v>
      </c>
      <c r="B725" s="19" t="s">
        <v>6371</v>
      </c>
      <c r="C725" s="19" t="s">
        <v>73</v>
      </c>
      <c r="D725" s="19" t="s">
        <v>6372</v>
      </c>
      <c r="E725" s="19" t="s">
        <v>6373</v>
      </c>
      <c r="F725" s="19" t="s">
        <v>6374</v>
      </c>
      <c r="I725" s="19" t="s">
        <v>6375</v>
      </c>
      <c r="K725" s="19" t="s">
        <v>6376</v>
      </c>
      <c r="M725" s="19" t="s">
        <v>6377</v>
      </c>
      <c r="P725" s="19" t="s">
        <v>6378</v>
      </c>
      <c r="Q725" s="19" t="s">
        <v>6379</v>
      </c>
      <c r="R725" s="19" t="s">
        <v>6380</v>
      </c>
    </row>
    <row r="726" spans="1:18">
      <c r="A726" s="19" t="s">
        <v>26</v>
      </c>
      <c r="B726" s="19" t="s">
        <v>6381</v>
      </c>
      <c r="C726" s="19" t="s">
        <v>73</v>
      </c>
      <c r="D726" s="19" t="s">
        <v>6382</v>
      </c>
      <c r="E726" s="19" t="s">
        <v>6383</v>
      </c>
      <c r="F726" s="19" t="s">
        <v>6384</v>
      </c>
      <c r="I726" s="19" t="s">
        <v>6385</v>
      </c>
      <c r="K726" s="19" t="s">
        <v>6386</v>
      </c>
      <c r="M726" s="19" t="s">
        <v>6387</v>
      </c>
      <c r="P726" s="19" t="s">
        <v>6388</v>
      </c>
      <c r="Q726" s="19" t="s">
        <v>6389</v>
      </c>
      <c r="R726" s="19" t="s">
        <v>6390</v>
      </c>
    </row>
    <row r="727" spans="1:18">
      <c r="A727" s="19" t="s">
        <v>26</v>
      </c>
      <c r="B727" s="19" t="s">
        <v>6391</v>
      </c>
      <c r="C727" s="19" t="s">
        <v>73</v>
      </c>
      <c r="D727" s="19" t="s">
        <v>6392</v>
      </c>
      <c r="E727" s="19" t="s">
        <v>6393</v>
      </c>
      <c r="F727" s="19" t="s">
        <v>6394</v>
      </c>
      <c r="I727" s="19" t="s">
        <v>6395</v>
      </c>
      <c r="K727" s="19" t="s">
        <v>6396</v>
      </c>
      <c r="M727" s="19" t="s">
        <v>6397</v>
      </c>
      <c r="P727" s="19" t="s">
        <v>6398</v>
      </c>
      <c r="Q727" s="19" t="s">
        <v>6399</v>
      </c>
      <c r="R727" s="19" t="s">
        <v>6400</v>
      </c>
    </row>
    <row r="728" spans="1:18">
      <c r="A728" s="19" t="s">
        <v>26</v>
      </c>
      <c r="B728" s="19" t="s">
        <v>6401</v>
      </c>
      <c r="C728" s="19" t="s">
        <v>73</v>
      </c>
      <c r="D728" s="19" t="s">
        <v>6402</v>
      </c>
      <c r="E728" s="19" t="s">
        <v>6403</v>
      </c>
      <c r="F728" s="19" t="s">
        <v>6404</v>
      </c>
      <c r="I728" s="19" t="s">
        <v>6405</v>
      </c>
      <c r="K728" s="19" t="s">
        <v>6406</v>
      </c>
      <c r="M728" s="19" t="s">
        <v>6407</v>
      </c>
      <c r="P728" s="19" t="s">
        <v>6408</v>
      </c>
      <c r="Q728" s="19" t="s">
        <v>6409</v>
      </c>
      <c r="R728" s="19" t="s">
        <v>6410</v>
      </c>
    </row>
    <row r="729" spans="1:18">
      <c r="A729" s="19" t="s">
        <v>26</v>
      </c>
      <c r="B729" s="19" t="s">
        <v>6411</v>
      </c>
      <c r="C729" s="19" t="s">
        <v>73</v>
      </c>
      <c r="D729" s="19" t="s">
        <v>6412</v>
      </c>
      <c r="E729" s="19" t="s">
        <v>6413</v>
      </c>
      <c r="F729" s="19" t="s">
        <v>6414</v>
      </c>
      <c r="I729" s="19" t="s">
        <v>6415</v>
      </c>
      <c r="K729" s="19" t="s">
        <v>6416</v>
      </c>
      <c r="M729" s="19" t="s">
        <v>6417</v>
      </c>
      <c r="P729" s="19" t="s">
        <v>6418</v>
      </c>
      <c r="Q729" s="19" t="s">
        <v>6419</v>
      </c>
      <c r="R729" s="19" t="s">
        <v>6420</v>
      </c>
    </row>
    <row r="730" spans="1:18">
      <c r="A730" s="19" t="s">
        <v>26</v>
      </c>
      <c r="B730" s="19" t="s">
        <v>6421</v>
      </c>
      <c r="C730" s="19" t="s">
        <v>73</v>
      </c>
      <c r="D730" s="19" t="s">
        <v>6422</v>
      </c>
      <c r="E730" s="19" t="s">
        <v>6423</v>
      </c>
      <c r="F730" s="19" t="s">
        <v>6424</v>
      </c>
      <c r="I730" s="19" t="s">
        <v>6425</v>
      </c>
      <c r="K730" s="19" t="s">
        <v>6426</v>
      </c>
      <c r="M730" s="19" t="s">
        <v>6427</v>
      </c>
      <c r="P730" s="19" t="s">
        <v>6428</v>
      </c>
      <c r="Q730" s="19" t="s">
        <v>6429</v>
      </c>
      <c r="R730" s="19" t="s">
        <v>6430</v>
      </c>
    </row>
    <row r="731" spans="1:18">
      <c r="A731" s="19" t="s">
        <v>26</v>
      </c>
      <c r="B731" s="19" t="s">
        <v>6431</v>
      </c>
      <c r="C731" s="19" t="s">
        <v>73</v>
      </c>
      <c r="D731" s="19" t="s">
        <v>6432</v>
      </c>
      <c r="E731" s="19" t="s">
        <v>6433</v>
      </c>
      <c r="F731" s="19" t="s">
        <v>6434</v>
      </c>
      <c r="I731" s="19" t="s">
        <v>6435</v>
      </c>
      <c r="K731" s="19" t="s">
        <v>6436</v>
      </c>
      <c r="M731" s="19" t="s">
        <v>6437</v>
      </c>
      <c r="P731" s="19" t="s">
        <v>6438</v>
      </c>
      <c r="Q731" s="19" t="s">
        <v>6439</v>
      </c>
      <c r="R731" s="19" t="s">
        <v>6440</v>
      </c>
    </row>
    <row r="732" spans="1:18">
      <c r="A732" s="19" t="s">
        <v>26</v>
      </c>
      <c r="B732" s="19" t="s">
        <v>6441</v>
      </c>
      <c r="C732" s="19" t="s">
        <v>73</v>
      </c>
      <c r="D732" s="19" t="s">
        <v>6442</v>
      </c>
      <c r="E732" s="19" t="s">
        <v>6443</v>
      </c>
      <c r="F732" s="19" t="s">
        <v>6444</v>
      </c>
      <c r="I732" s="19" t="s">
        <v>6445</v>
      </c>
      <c r="K732" s="19" t="s">
        <v>6446</v>
      </c>
      <c r="M732" s="19" t="s">
        <v>6447</v>
      </c>
      <c r="P732" s="19" t="s">
        <v>6448</v>
      </c>
      <c r="Q732" s="19" t="s">
        <v>6449</v>
      </c>
      <c r="R732" s="19" t="s">
        <v>6450</v>
      </c>
    </row>
    <row r="733" spans="1:18">
      <c r="A733" s="19" t="s">
        <v>26</v>
      </c>
      <c r="B733" s="19" t="s">
        <v>6451</v>
      </c>
      <c r="C733" s="19" t="s">
        <v>73</v>
      </c>
      <c r="D733" s="19" t="s">
        <v>6452</v>
      </c>
      <c r="E733" s="19" t="s">
        <v>6453</v>
      </c>
      <c r="F733" s="19" t="s">
        <v>6454</v>
      </c>
      <c r="I733" s="19" t="s">
        <v>6455</v>
      </c>
      <c r="K733" s="19" t="s">
        <v>6456</v>
      </c>
      <c r="M733" s="19" t="s">
        <v>6457</v>
      </c>
      <c r="P733" s="19" t="s">
        <v>6458</v>
      </c>
      <c r="Q733" s="19" t="s">
        <v>6459</v>
      </c>
      <c r="R733" s="19" t="s">
        <v>6460</v>
      </c>
    </row>
    <row r="734" spans="1:18">
      <c r="A734" s="19" t="s">
        <v>26</v>
      </c>
      <c r="B734" s="19" t="s">
        <v>6461</v>
      </c>
      <c r="C734" s="19" t="s">
        <v>73</v>
      </c>
      <c r="D734" s="19" t="s">
        <v>6462</v>
      </c>
      <c r="E734" s="19" t="s">
        <v>6463</v>
      </c>
      <c r="F734" s="19" t="s">
        <v>6464</v>
      </c>
      <c r="I734" s="19" t="s">
        <v>6465</v>
      </c>
      <c r="K734" s="19" t="s">
        <v>6466</v>
      </c>
      <c r="M734" s="19" t="s">
        <v>6467</v>
      </c>
      <c r="P734" s="19" t="s">
        <v>6468</v>
      </c>
      <c r="Q734" s="19" t="s">
        <v>6469</v>
      </c>
      <c r="R734" s="19" t="s">
        <v>6470</v>
      </c>
    </row>
    <row r="735" spans="1:18">
      <c r="B735" s="19" t="s">
        <v>16</v>
      </c>
    </row>
    <row r="736" spans="1:18">
      <c r="B736" s="19" t="s">
        <v>6471</v>
      </c>
      <c r="F736" s="19" t="s">
        <v>6472</v>
      </c>
      <c r="I736" s="19" t="s">
        <v>6473</v>
      </c>
      <c r="K736" s="19" t="s">
        <v>6474</v>
      </c>
      <c r="M736" s="19" t="s">
        <v>6475</v>
      </c>
      <c r="P736" s="19" t="s">
        <v>6476</v>
      </c>
      <c r="Q736" s="19" t="s">
        <v>6477</v>
      </c>
      <c r="R736" s="19" t="s">
        <v>6478</v>
      </c>
    </row>
    <row r="737" spans="1:18">
      <c r="B737" s="19" t="s">
        <v>5780</v>
      </c>
    </row>
    <row r="738" spans="1:18">
      <c r="B738" s="19" t="s">
        <v>6479</v>
      </c>
      <c r="F738" s="19" t="s">
        <v>74</v>
      </c>
    </row>
    <row r="739" spans="1:18">
      <c r="B739" s="19" t="s">
        <v>6480</v>
      </c>
      <c r="C739" s="19" t="s">
        <v>75</v>
      </c>
      <c r="D739" s="19" t="s">
        <v>6481</v>
      </c>
      <c r="E739" s="19" t="s">
        <v>6482</v>
      </c>
      <c r="F739" s="19" t="s">
        <v>6483</v>
      </c>
      <c r="I739" s="19" t="s">
        <v>6484</v>
      </c>
      <c r="K739" s="19" t="s">
        <v>6485</v>
      </c>
      <c r="M739" s="19" t="s">
        <v>6486</v>
      </c>
      <c r="P739" s="19" t="s">
        <v>6487</v>
      </c>
      <c r="Q739" s="19" t="s">
        <v>6488</v>
      </c>
      <c r="R739" s="19" t="s">
        <v>6489</v>
      </c>
    </row>
    <row r="740" spans="1:18">
      <c r="A740" s="19" t="s">
        <v>26</v>
      </c>
      <c r="B740" s="19" t="s">
        <v>6490</v>
      </c>
      <c r="C740" s="19" t="s">
        <v>75</v>
      </c>
      <c r="D740" s="19" t="s">
        <v>6491</v>
      </c>
      <c r="E740" s="19" t="s">
        <v>6492</v>
      </c>
      <c r="F740" s="19" t="s">
        <v>6493</v>
      </c>
      <c r="I740" s="19" t="s">
        <v>6494</v>
      </c>
      <c r="K740" s="19" t="s">
        <v>6495</v>
      </c>
      <c r="M740" s="19" t="s">
        <v>6496</v>
      </c>
      <c r="P740" s="19" t="s">
        <v>6497</v>
      </c>
      <c r="Q740" s="19" t="s">
        <v>6498</v>
      </c>
      <c r="R740" s="19" t="s">
        <v>6499</v>
      </c>
    </row>
    <row r="741" spans="1:18">
      <c r="A741" s="19" t="s">
        <v>26</v>
      </c>
      <c r="B741" s="19" t="s">
        <v>6500</v>
      </c>
      <c r="C741" s="19" t="s">
        <v>75</v>
      </c>
      <c r="D741" s="19" t="s">
        <v>6501</v>
      </c>
      <c r="E741" s="19" t="s">
        <v>6502</v>
      </c>
      <c r="F741" s="19" t="s">
        <v>6503</v>
      </c>
      <c r="I741" s="19" t="s">
        <v>6504</v>
      </c>
      <c r="K741" s="19" t="s">
        <v>6505</v>
      </c>
      <c r="M741" s="19" t="s">
        <v>6506</v>
      </c>
      <c r="P741" s="19" t="s">
        <v>6507</v>
      </c>
      <c r="Q741" s="19" t="s">
        <v>6508</v>
      </c>
      <c r="R741" s="19" t="s">
        <v>6509</v>
      </c>
    </row>
    <row r="742" spans="1:18">
      <c r="A742" s="19" t="s">
        <v>26</v>
      </c>
      <c r="B742" s="19" t="s">
        <v>6510</v>
      </c>
      <c r="C742" s="19" t="s">
        <v>75</v>
      </c>
      <c r="D742" s="19" t="s">
        <v>6511</v>
      </c>
      <c r="E742" s="19" t="s">
        <v>6512</v>
      </c>
      <c r="F742" s="19" t="s">
        <v>6513</v>
      </c>
      <c r="I742" s="19" t="s">
        <v>6514</v>
      </c>
      <c r="K742" s="19" t="s">
        <v>6515</v>
      </c>
      <c r="M742" s="19" t="s">
        <v>6516</v>
      </c>
      <c r="P742" s="19" t="s">
        <v>6517</v>
      </c>
      <c r="Q742" s="19" t="s">
        <v>6518</v>
      </c>
      <c r="R742" s="19" t="s">
        <v>6519</v>
      </c>
    </row>
    <row r="743" spans="1:18">
      <c r="A743" s="19" t="s">
        <v>26</v>
      </c>
      <c r="B743" s="19" t="s">
        <v>6520</v>
      </c>
      <c r="C743" s="19" t="s">
        <v>75</v>
      </c>
      <c r="D743" s="19" t="s">
        <v>6521</v>
      </c>
      <c r="E743" s="19" t="s">
        <v>6522</v>
      </c>
      <c r="F743" s="19" t="s">
        <v>6523</v>
      </c>
      <c r="I743" s="19" t="s">
        <v>6524</v>
      </c>
      <c r="K743" s="19" t="s">
        <v>6525</v>
      </c>
      <c r="M743" s="19" t="s">
        <v>6526</v>
      </c>
      <c r="P743" s="19" t="s">
        <v>6527</v>
      </c>
      <c r="Q743" s="19" t="s">
        <v>6528</v>
      </c>
      <c r="R743" s="19" t="s">
        <v>6529</v>
      </c>
    </row>
    <row r="744" spans="1:18">
      <c r="A744" s="19" t="s">
        <v>26</v>
      </c>
      <c r="B744" s="19" t="s">
        <v>6530</v>
      </c>
      <c r="C744" s="19" t="s">
        <v>75</v>
      </c>
      <c r="D744" s="19" t="s">
        <v>6531</v>
      </c>
      <c r="E744" s="19" t="s">
        <v>6532</v>
      </c>
      <c r="F744" s="19" t="s">
        <v>6533</v>
      </c>
      <c r="I744" s="19" t="s">
        <v>6534</v>
      </c>
      <c r="K744" s="19" t="s">
        <v>6535</v>
      </c>
      <c r="M744" s="19" t="s">
        <v>6536</v>
      </c>
      <c r="P744" s="19" t="s">
        <v>6537</v>
      </c>
      <c r="Q744" s="19" t="s">
        <v>6538</v>
      </c>
      <c r="R744" s="19" t="s">
        <v>6539</v>
      </c>
    </row>
    <row r="745" spans="1:18">
      <c r="A745" s="19" t="s">
        <v>26</v>
      </c>
      <c r="B745" s="19" t="s">
        <v>6540</v>
      </c>
      <c r="C745" s="19" t="s">
        <v>75</v>
      </c>
      <c r="D745" s="19" t="s">
        <v>6541</v>
      </c>
      <c r="E745" s="19" t="s">
        <v>6542</v>
      </c>
      <c r="F745" s="19" t="s">
        <v>6543</v>
      </c>
      <c r="I745" s="19" t="s">
        <v>6544</v>
      </c>
      <c r="K745" s="19" t="s">
        <v>6545</v>
      </c>
      <c r="M745" s="19" t="s">
        <v>6546</v>
      </c>
      <c r="P745" s="19" t="s">
        <v>6547</v>
      </c>
      <c r="Q745" s="19" t="s">
        <v>6548</v>
      </c>
      <c r="R745" s="19" t="s">
        <v>6549</v>
      </c>
    </row>
    <row r="746" spans="1:18">
      <c r="A746" s="19" t="s">
        <v>26</v>
      </c>
      <c r="B746" s="19" t="s">
        <v>6550</v>
      </c>
      <c r="C746" s="19" t="s">
        <v>75</v>
      </c>
      <c r="D746" s="19" t="s">
        <v>6551</v>
      </c>
      <c r="E746" s="19" t="s">
        <v>6552</v>
      </c>
      <c r="F746" s="19" t="s">
        <v>6553</v>
      </c>
      <c r="I746" s="19" t="s">
        <v>6554</v>
      </c>
      <c r="K746" s="19" t="s">
        <v>6555</v>
      </c>
      <c r="M746" s="19" t="s">
        <v>6556</v>
      </c>
      <c r="P746" s="19" t="s">
        <v>6557</v>
      </c>
      <c r="Q746" s="19" t="s">
        <v>6558</v>
      </c>
      <c r="R746" s="19" t="s">
        <v>6559</v>
      </c>
    </row>
    <row r="747" spans="1:18">
      <c r="A747" s="19" t="s">
        <v>26</v>
      </c>
      <c r="B747" s="19" t="s">
        <v>6560</v>
      </c>
      <c r="C747" s="19" t="s">
        <v>75</v>
      </c>
      <c r="D747" s="19" t="s">
        <v>6561</v>
      </c>
      <c r="E747" s="19" t="s">
        <v>6562</v>
      </c>
      <c r="F747" s="19" t="s">
        <v>6563</v>
      </c>
      <c r="I747" s="19" t="s">
        <v>6564</v>
      </c>
      <c r="K747" s="19" t="s">
        <v>6565</v>
      </c>
      <c r="M747" s="19" t="s">
        <v>6566</v>
      </c>
      <c r="P747" s="19" t="s">
        <v>6567</v>
      </c>
      <c r="Q747" s="19" t="s">
        <v>6568</v>
      </c>
      <c r="R747" s="19" t="s">
        <v>6569</v>
      </c>
    </row>
    <row r="748" spans="1:18">
      <c r="A748" s="19" t="s">
        <v>26</v>
      </c>
      <c r="B748" s="19" t="s">
        <v>6570</v>
      </c>
      <c r="C748" s="19" t="s">
        <v>75</v>
      </c>
      <c r="D748" s="19" t="s">
        <v>6571</v>
      </c>
      <c r="E748" s="19" t="s">
        <v>6572</v>
      </c>
      <c r="F748" s="19" t="s">
        <v>6573</v>
      </c>
      <c r="I748" s="19" t="s">
        <v>6574</v>
      </c>
      <c r="K748" s="19" t="s">
        <v>6575</v>
      </c>
      <c r="M748" s="19" t="s">
        <v>6576</v>
      </c>
      <c r="P748" s="19" t="s">
        <v>6577</v>
      </c>
      <c r="Q748" s="19" t="s">
        <v>6578</v>
      </c>
      <c r="R748" s="19" t="s">
        <v>6579</v>
      </c>
    </row>
    <row r="749" spans="1:18">
      <c r="A749" s="19" t="s">
        <v>26</v>
      </c>
      <c r="B749" s="19" t="s">
        <v>6580</v>
      </c>
      <c r="C749" s="19" t="s">
        <v>75</v>
      </c>
      <c r="D749" s="19" t="s">
        <v>6581</v>
      </c>
      <c r="E749" s="19" t="s">
        <v>6582</v>
      </c>
      <c r="F749" s="19" t="s">
        <v>6583</v>
      </c>
      <c r="I749" s="19" t="s">
        <v>6584</v>
      </c>
      <c r="K749" s="19" t="s">
        <v>6585</v>
      </c>
      <c r="M749" s="19" t="s">
        <v>6586</v>
      </c>
      <c r="P749" s="19" t="s">
        <v>6587</v>
      </c>
      <c r="Q749" s="19" t="s">
        <v>6588</v>
      </c>
      <c r="R749" s="19" t="s">
        <v>6589</v>
      </c>
    </row>
    <row r="750" spans="1:18">
      <c r="A750" s="19" t="s">
        <v>26</v>
      </c>
      <c r="B750" s="19" t="s">
        <v>6590</v>
      </c>
      <c r="C750" s="19" t="s">
        <v>75</v>
      </c>
      <c r="D750" s="19" t="s">
        <v>6591</v>
      </c>
      <c r="E750" s="19" t="s">
        <v>6592</v>
      </c>
      <c r="F750" s="19" t="s">
        <v>6593</v>
      </c>
      <c r="I750" s="19" t="s">
        <v>6594</v>
      </c>
      <c r="K750" s="19" t="s">
        <v>6595</v>
      </c>
      <c r="M750" s="19" t="s">
        <v>6596</v>
      </c>
      <c r="P750" s="19" t="s">
        <v>6597</v>
      </c>
      <c r="Q750" s="19" t="s">
        <v>6598</v>
      </c>
      <c r="R750" s="19" t="s">
        <v>6599</v>
      </c>
    </row>
    <row r="751" spans="1:18">
      <c r="A751" s="19" t="s">
        <v>26</v>
      </c>
      <c r="B751" s="19" t="s">
        <v>6600</v>
      </c>
      <c r="C751" s="19" t="s">
        <v>75</v>
      </c>
      <c r="D751" s="19" t="s">
        <v>6601</v>
      </c>
      <c r="E751" s="19" t="s">
        <v>6602</v>
      </c>
      <c r="F751" s="19" t="s">
        <v>6603</v>
      </c>
      <c r="I751" s="19" t="s">
        <v>6604</v>
      </c>
      <c r="K751" s="19" t="s">
        <v>6605</v>
      </c>
      <c r="M751" s="19" t="s">
        <v>6606</v>
      </c>
      <c r="P751" s="19" t="s">
        <v>6607</v>
      </c>
      <c r="Q751" s="19" t="s">
        <v>6608</v>
      </c>
      <c r="R751" s="19" t="s">
        <v>6609</v>
      </c>
    </row>
    <row r="752" spans="1:18">
      <c r="A752" s="19" t="s">
        <v>26</v>
      </c>
      <c r="B752" s="19" t="s">
        <v>6610</v>
      </c>
      <c r="C752" s="19" t="s">
        <v>75</v>
      </c>
      <c r="D752" s="19" t="s">
        <v>6611</v>
      </c>
      <c r="E752" s="19" t="s">
        <v>6612</v>
      </c>
      <c r="F752" s="19" t="s">
        <v>6613</v>
      </c>
      <c r="I752" s="19" t="s">
        <v>6614</v>
      </c>
      <c r="K752" s="19" t="s">
        <v>6615</v>
      </c>
      <c r="M752" s="19" t="s">
        <v>6616</v>
      </c>
      <c r="P752" s="19" t="s">
        <v>6617</v>
      </c>
      <c r="Q752" s="19" t="s">
        <v>6618</v>
      </c>
      <c r="R752" s="19" t="s">
        <v>6619</v>
      </c>
    </row>
    <row r="753" spans="1:18">
      <c r="A753" s="19" t="s">
        <v>26</v>
      </c>
      <c r="B753" s="19" t="s">
        <v>6620</v>
      </c>
      <c r="C753" s="19" t="s">
        <v>75</v>
      </c>
      <c r="D753" s="19" t="s">
        <v>6621</v>
      </c>
      <c r="E753" s="19" t="s">
        <v>6622</v>
      </c>
      <c r="F753" s="19" t="s">
        <v>6623</v>
      </c>
      <c r="I753" s="19" t="s">
        <v>6624</v>
      </c>
      <c r="K753" s="19" t="s">
        <v>6625</v>
      </c>
      <c r="M753" s="19" t="s">
        <v>6626</v>
      </c>
      <c r="P753" s="19" t="s">
        <v>6627</v>
      </c>
      <c r="Q753" s="19" t="s">
        <v>6628</v>
      </c>
      <c r="R753" s="19" t="s">
        <v>6629</v>
      </c>
    </row>
    <row r="754" spans="1:18">
      <c r="A754" s="19" t="s">
        <v>26</v>
      </c>
      <c r="B754" s="19" t="s">
        <v>6630</v>
      </c>
      <c r="C754" s="19" t="s">
        <v>75</v>
      </c>
      <c r="D754" s="19" t="s">
        <v>6631</v>
      </c>
      <c r="E754" s="19" t="s">
        <v>6632</v>
      </c>
      <c r="F754" s="19" t="s">
        <v>6633</v>
      </c>
      <c r="I754" s="19" t="s">
        <v>6634</v>
      </c>
      <c r="K754" s="19" t="s">
        <v>6635</v>
      </c>
      <c r="M754" s="19" t="s">
        <v>6636</v>
      </c>
      <c r="P754" s="19" t="s">
        <v>6637</v>
      </c>
      <c r="Q754" s="19" t="s">
        <v>6638</v>
      </c>
      <c r="R754" s="19" t="s">
        <v>6639</v>
      </c>
    </row>
    <row r="755" spans="1:18">
      <c r="A755" s="19" t="s">
        <v>26</v>
      </c>
      <c r="B755" s="19" t="s">
        <v>6640</v>
      </c>
      <c r="C755" s="19" t="s">
        <v>75</v>
      </c>
      <c r="D755" s="19" t="s">
        <v>6641</v>
      </c>
      <c r="E755" s="19" t="s">
        <v>6642</v>
      </c>
      <c r="F755" s="19" t="s">
        <v>6643</v>
      </c>
      <c r="I755" s="19" t="s">
        <v>6644</v>
      </c>
      <c r="K755" s="19" t="s">
        <v>6645</v>
      </c>
      <c r="M755" s="19" t="s">
        <v>6646</v>
      </c>
      <c r="P755" s="19" t="s">
        <v>6647</v>
      </c>
      <c r="Q755" s="19" t="s">
        <v>6648</v>
      </c>
      <c r="R755" s="19" t="s">
        <v>6649</v>
      </c>
    </row>
    <row r="756" spans="1:18">
      <c r="A756" s="19" t="s">
        <v>26</v>
      </c>
      <c r="B756" s="19" t="s">
        <v>6650</v>
      </c>
      <c r="C756" s="19" t="s">
        <v>75</v>
      </c>
      <c r="D756" s="19" t="s">
        <v>6651</v>
      </c>
      <c r="E756" s="19" t="s">
        <v>6652</v>
      </c>
      <c r="F756" s="19" t="s">
        <v>6653</v>
      </c>
      <c r="I756" s="19" t="s">
        <v>6654</v>
      </c>
      <c r="K756" s="19" t="s">
        <v>6655</v>
      </c>
      <c r="M756" s="19" t="s">
        <v>6656</v>
      </c>
      <c r="P756" s="19" t="s">
        <v>6657</v>
      </c>
      <c r="Q756" s="19" t="s">
        <v>6658</v>
      </c>
      <c r="R756" s="19" t="s">
        <v>6659</v>
      </c>
    </row>
    <row r="757" spans="1:18">
      <c r="A757" s="19" t="s">
        <v>26</v>
      </c>
      <c r="B757" s="19" t="s">
        <v>6660</v>
      </c>
      <c r="C757" s="19" t="s">
        <v>75</v>
      </c>
      <c r="D757" s="19" t="s">
        <v>6661</v>
      </c>
      <c r="E757" s="19" t="s">
        <v>6662</v>
      </c>
      <c r="F757" s="19" t="s">
        <v>6663</v>
      </c>
      <c r="I757" s="19" t="s">
        <v>6664</v>
      </c>
      <c r="K757" s="19" t="s">
        <v>6665</v>
      </c>
      <c r="M757" s="19" t="s">
        <v>6666</v>
      </c>
      <c r="P757" s="19" t="s">
        <v>6667</v>
      </c>
      <c r="Q757" s="19" t="s">
        <v>6668</v>
      </c>
      <c r="R757" s="19" t="s">
        <v>6669</v>
      </c>
    </row>
    <row r="758" spans="1:18">
      <c r="A758" s="19" t="s">
        <v>26</v>
      </c>
      <c r="B758" s="19" t="s">
        <v>6670</v>
      </c>
      <c r="C758" s="19" t="s">
        <v>75</v>
      </c>
      <c r="D758" s="19" t="s">
        <v>6671</v>
      </c>
      <c r="E758" s="19" t="s">
        <v>6672</v>
      </c>
      <c r="F758" s="19" t="s">
        <v>6673</v>
      </c>
      <c r="I758" s="19" t="s">
        <v>6674</v>
      </c>
      <c r="K758" s="19" t="s">
        <v>6675</v>
      </c>
      <c r="M758" s="19" t="s">
        <v>6676</v>
      </c>
      <c r="P758" s="19" t="s">
        <v>6677</v>
      </c>
      <c r="Q758" s="19" t="s">
        <v>6678</v>
      </c>
      <c r="R758" s="19" t="s">
        <v>6679</v>
      </c>
    </row>
    <row r="759" spans="1:18">
      <c r="A759" s="19" t="s">
        <v>26</v>
      </c>
      <c r="B759" s="19" t="s">
        <v>6680</v>
      </c>
      <c r="C759" s="19" t="s">
        <v>75</v>
      </c>
      <c r="D759" s="19" t="s">
        <v>6681</v>
      </c>
      <c r="E759" s="19" t="s">
        <v>6682</v>
      </c>
      <c r="F759" s="19" t="s">
        <v>6683</v>
      </c>
      <c r="I759" s="19" t="s">
        <v>6684</v>
      </c>
      <c r="K759" s="19" t="s">
        <v>6685</v>
      </c>
      <c r="M759" s="19" t="s">
        <v>6686</v>
      </c>
      <c r="P759" s="19" t="s">
        <v>6687</v>
      </c>
      <c r="Q759" s="19" t="s">
        <v>6688</v>
      </c>
      <c r="R759" s="19" t="s">
        <v>6689</v>
      </c>
    </row>
    <row r="760" spans="1:18">
      <c r="A760" s="19" t="s">
        <v>26</v>
      </c>
      <c r="B760" s="19" t="s">
        <v>6690</v>
      </c>
      <c r="C760" s="19" t="s">
        <v>75</v>
      </c>
      <c r="D760" s="19" t="s">
        <v>6691</v>
      </c>
      <c r="E760" s="19" t="s">
        <v>6692</v>
      </c>
      <c r="F760" s="19" t="s">
        <v>6693</v>
      </c>
      <c r="I760" s="19" t="s">
        <v>6694</v>
      </c>
      <c r="K760" s="19" t="s">
        <v>6695</v>
      </c>
      <c r="M760" s="19" t="s">
        <v>6696</v>
      </c>
      <c r="P760" s="19" t="s">
        <v>6697</v>
      </c>
      <c r="Q760" s="19" t="s">
        <v>6698</v>
      </c>
      <c r="R760" s="19" t="s">
        <v>6699</v>
      </c>
    </row>
    <row r="761" spans="1:18">
      <c r="A761" s="19" t="s">
        <v>26</v>
      </c>
      <c r="B761" s="19" t="s">
        <v>6700</v>
      </c>
      <c r="C761" s="19" t="s">
        <v>75</v>
      </c>
      <c r="D761" s="19" t="s">
        <v>6701</v>
      </c>
      <c r="E761" s="19" t="s">
        <v>6702</v>
      </c>
      <c r="F761" s="19" t="s">
        <v>6703</v>
      </c>
      <c r="I761" s="19" t="s">
        <v>6704</v>
      </c>
      <c r="K761" s="19" t="s">
        <v>6705</v>
      </c>
      <c r="M761" s="19" t="s">
        <v>6706</v>
      </c>
      <c r="P761" s="19" t="s">
        <v>6707</v>
      </c>
      <c r="Q761" s="19" t="s">
        <v>6708</v>
      </c>
      <c r="R761" s="19" t="s">
        <v>6709</v>
      </c>
    </row>
    <row r="762" spans="1:18">
      <c r="A762" s="19" t="s">
        <v>26</v>
      </c>
      <c r="B762" s="19" t="s">
        <v>6710</v>
      </c>
      <c r="C762" s="19" t="s">
        <v>75</v>
      </c>
      <c r="D762" s="19" t="s">
        <v>6711</v>
      </c>
      <c r="E762" s="19" t="s">
        <v>6712</v>
      </c>
      <c r="F762" s="19" t="s">
        <v>6713</v>
      </c>
      <c r="I762" s="19" t="s">
        <v>6714</v>
      </c>
      <c r="K762" s="19" t="s">
        <v>6715</v>
      </c>
      <c r="M762" s="19" t="s">
        <v>6716</v>
      </c>
      <c r="P762" s="19" t="s">
        <v>6717</v>
      </c>
      <c r="Q762" s="19" t="s">
        <v>6718</v>
      </c>
      <c r="R762" s="19" t="s">
        <v>6719</v>
      </c>
    </row>
    <row r="763" spans="1:18">
      <c r="A763" s="19" t="s">
        <v>26</v>
      </c>
      <c r="B763" s="19" t="s">
        <v>6720</v>
      </c>
      <c r="C763" s="19" t="s">
        <v>75</v>
      </c>
      <c r="D763" s="19" t="s">
        <v>6721</v>
      </c>
      <c r="E763" s="19" t="s">
        <v>6722</v>
      </c>
      <c r="F763" s="19" t="s">
        <v>6723</v>
      </c>
      <c r="I763" s="19" t="s">
        <v>6724</v>
      </c>
      <c r="K763" s="19" t="s">
        <v>6725</v>
      </c>
      <c r="M763" s="19" t="s">
        <v>6726</v>
      </c>
      <c r="P763" s="19" t="s">
        <v>6727</v>
      </c>
      <c r="Q763" s="19" t="s">
        <v>6728</v>
      </c>
      <c r="R763" s="19" t="s">
        <v>6729</v>
      </c>
    </row>
    <row r="764" spans="1:18">
      <c r="A764" s="19" t="s">
        <v>26</v>
      </c>
      <c r="B764" s="19" t="s">
        <v>6730</v>
      </c>
      <c r="C764" s="19" t="s">
        <v>75</v>
      </c>
      <c r="D764" s="19" t="s">
        <v>6731</v>
      </c>
      <c r="E764" s="19" t="s">
        <v>6732</v>
      </c>
      <c r="F764" s="19" t="s">
        <v>6733</v>
      </c>
      <c r="I764" s="19" t="s">
        <v>6734</v>
      </c>
      <c r="K764" s="19" t="s">
        <v>6735</v>
      </c>
      <c r="M764" s="19" t="s">
        <v>6736</v>
      </c>
      <c r="P764" s="19" t="s">
        <v>6737</v>
      </c>
      <c r="Q764" s="19" t="s">
        <v>6738</v>
      </c>
      <c r="R764" s="19" t="s">
        <v>6739</v>
      </c>
    </row>
    <row r="765" spans="1:18">
      <c r="A765" s="19" t="s">
        <v>26</v>
      </c>
      <c r="B765" s="19" t="s">
        <v>6740</v>
      </c>
      <c r="C765" s="19" t="s">
        <v>75</v>
      </c>
      <c r="D765" s="19" t="s">
        <v>6741</v>
      </c>
      <c r="E765" s="19" t="s">
        <v>6742</v>
      </c>
      <c r="F765" s="19" t="s">
        <v>6743</v>
      </c>
      <c r="I765" s="19" t="s">
        <v>6744</v>
      </c>
      <c r="K765" s="19" t="s">
        <v>6745</v>
      </c>
      <c r="M765" s="19" t="s">
        <v>6746</v>
      </c>
      <c r="P765" s="19" t="s">
        <v>6747</v>
      </c>
      <c r="Q765" s="19" t="s">
        <v>6748</v>
      </c>
      <c r="R765" s="19" t="s">
        <v>6749</v>
      </c>
    </row>
    <row r="766" spans="1:18">
      <c r="A766" s="19" t="s">
        <v>26</v>
      </c>
      <c r="B766" s="19" t="s">
        <v>6750</v>
      </c>
      <c r="C766" s="19" t="s">
        <v>75</v>
      </c>
      <c r="D766" s="19" t="s">
        <v>6751</v>
      </c>
      <c r="E766" s="19" t="s">
        <v>6752</v>
      </c>
      <c r="F766" s="19" t="s">
        <v>6753</v>
      </c>
      <c r="I766" s="19" t="s">
        <v>6754</v>
      </c>
      <c r="K766" s="19" t="s">
        <v>6755</v>
      </c>
      <c r="M766" s="19" t="s">
        <v>6756</v>
      </c>
      <c r="P766" s="19" t="s">
        <v>6757</v>
      </c>
      <c r="Q766" s="19" t="s">
        <v>6758</v>
      </c>
      <c r="R766" s="19" t="s">
        <v>6759</v>
      </c>
    </row>
    <row r="767" spans="1:18">
      <c r="A767" s="19" t="s">
        <v>26</v>
      </c>
      <c r="B767" s="19" t="s">
        <v>6760</v>
      </c>
      <c r="C767" s="19" t="s">
        <v>75</v>
      </c>
      <c r="D767" s="19" t="s">
        <v>6761</v>
      </c>
      <c r="E767" s="19" t="s">
        <v>6762</v>
      </c>
      <c r="F767" s="19" t="s">
        <v>6763</v>
      </c>
      <c r="I767" s="19" t="s">
        <v>6764</v>
      </c>
      <c r="K767" s="19" t="s">
        <v>6765</v>
      </c>
      <c r="M767" s="19" t="s">
        <v>6766</v>
      </c>
      <c r="P767" s="19" t="s">
        <v>6767</v>
      </c>
      <c r="Q767" s="19" t="s">
        <v>6768</v>
      </c>
      <c r="R767" s="19" t="s">
        <v>6769</v>
      </c>
    </row>
    <row r="768" spans="1:18">
      <c r="A768" s="19" t="s">
        <v>26</v>
      </c>
      <c r="B768" s="19" t="s">
        <v>6770</v>
      </c>
      <c r="C768" s="19" t="s">
        <v>75</v>
      </c>
      <c r="D768" s="19" t="s">
        <v>6771</v>
      </c>
      <c r="E768" s="19" t="s">
        <v>6772</v>
      </c>
      <c r="F768" s="19" t="s">
        <v>6773</v>
      </c>
      <c r="I768" s="19" t="s">
        <v>6774</v>
      </c>
      <c r="K768" s="19" t="s">
        <v>6775</v>
      </c>
      <c r="M768" s="19" t="s">
        <v>6776</v>
      </c>
      <c r="P768" s="19" t="s">
        <v>6777</v>
      </c>
      <c r="Q768" s="19" t="s">
        <v>6778</v>
      </c>
      <c r="R768" s="19" t="s">
        <v>6779</v>
      </c>
    </row>
    <row r="769" spans="1:18">
      <c r="A769" s="19" t="s">
        <v>26</v>
      </c>
      <c r="B769" s="19" t="s">
        <v>6780</v>
      </c>
      <c r="C769" s="19" t="s">
        <v>75</v>
      </c>
      <c r="D769" s="19" t="s">
        <v>6781</v>
      </c>
      <c r="E769" s="19" t="s">
        <v>6782</v>
      </c>
      <c r="F769" s="19" t="s">
        <v>6783</v>
      </c>
      <c r="I769" s="19" t="s">
        <v>6784</v>
      </c>
      <c r="K769" s="19" t="s">
        <v>6785</v>
      </c>
      <c r="M769" s="19" t="s">
        <v>6786</v>
      </c>
      <c r="P769" s="19" t="s">
        <v>6787</v>
      </c>
      <c r="Q769" s="19" t="s">
        <v>6788</v>
      </c>
      <c r="R769" s="19" t="s">
        <v>6789</v>
      </c>
    </row>
    <row r="770" spans="1:18">
      <c r="B770" s="19" t="s">
        <v>16</v>
      </c>
    </row>
    <row r="771" spans="1:18">
      <c r="B771" s="19" t="s">
        <v>6790</v>
      </c>
      <c r="F771" s="19" t="s">
        <v>6791</v>
      </c>
      <c r="I771" s="19" t="s">
        <v>6792</v>
      </c>
      <c r="K771" s="19" t="s">
        <v>6793</v>
      </c>
      <c r="M771" s="19" t="s">
        <v>6794</v>
      </c>
      <c r="P771" s="19" t="s">
        <v>6795</v>
      </c>
      <c r="Q771" s="19" t="s">
        <v>6796</v>
      </c>
      <c r="R771" s="19" t="s">
        <v>6797</v>
      </c>
    </row>
    <row r="772" spans="1:18">
      <c r="B772" s="19" t="s">
        <v>6479</v>
      </c>
    </row>
    <row r="773" spans="1:18">
      <c r="B773" s="19" t="s">
        <v>4690</v>
      </c>
    </row>
    <row r="774" spans="1:18">
      <c r="B774" s="19" t="s">
        <v>6798</v>
      </c>
      <c r="C774" s="19" t="s">
        <v>787</v>
      </c>
      <c r="F774" s="19" t="s">
        <v>6799</v>
      </c>
    </row>
    <row r="775" spans="1:18">
      <c r="B775" s="19" t="s">
        <v>6800</v>
      </c>
      <c r="C775" s="19" t="s">
        <v>76</v>
      </c>
      <c r="D775" s="19" t="s">
        <v>6801</v>
      </c>
      <c r="E775" s="19" t="s">
        <v>6802</v>
      </c>
      <c r="F775" s="19" t="s">
        <v>6803</v>
      </c>
      <c r="I775" s="19" t="s">
        <v>6804</v>
      </c>
      <c r="K775" s="19" t="s">
        <v>6805</v>
      </c>
      <c r="M775" s="19" t="s">
        <v>6806</v>
      </c>
      <c r="P775" s="19" t="s">
        <v>6807</v>
      </c>
      <c r="Q775" s="19" t="s">
        <v>6808</v>
      </c>
      <c r="R775" s="19" t="s">
        <v>6809</v>
      </c>
    </row>
    <row r="776" spans="1:18">
      <c r="B776" s="19" t="s">
        <v>16</v>
      </c>
    </row>
    <row r="777" spans="1:18">
      <c r="B777" s="19" t="s">
        <v>6810</v>
      </c>
      <c r="F777" s="19" t="s">
        <v>6811</v>
      </c>
      <c r="I777" s="19" t="s">
        <v>6812</v>
      </c>
      <c r="K777" s="19" t="s">
        <v>6813</v>
      </c>
      <c r="M777" s="19" t="s">
        <v>6814</v>
      </c>
      <c r="P777" s="19" t="s">
        <v>6815</v>
      </c>
      <c r="Q777" s="19" t="s">
        <v>6816</v>
      </c>
      <c r="R777" s="19" t="s">
        <v>6817</v>
      </c>
    </row>
    <row r="778" spans="1:18">
      <c r="B778" s="19" t="s">
        <v>6798</v>
      </c>
    </row>
    <row r="779" spans="1:18">
      <c r="B779" s="19" t="s">
        <v>6818</v>
      </c>
      <c r="F779" s="19" t="s">
        <v>77</v>
      </c>
      <c r="I779" s="19" t="s">
        <v>6819</v>
      </c>
      <c r="K779" s="19" t="s">
        <v>6820</v>
      </c>
      <c r="M779" s="19" t="s">
        <v>6821</v>
      </c>
      <c r="P779" s="19" t="s">
        <v>6822</v>
      </c>
      <c r="Q779" s="19" t="s">
        <v>6823</v>
      </c>
      <c r="R779" s="19" t="s">
        <v>6824</v>
      </c>
    </row>
    <row r="780" spans="1:18">
      <c r="B780" s="19" t="s">
        <v>4690</v>
      </c>
    </row>
    <row r="781" spans="1:18">
      <c r="B781" s="19" t="s">
        <v>6825</v>
      </c>
      <c r="F781" s="19" t="s">
        <v>78</v>
      </c>
      <c r="I781" s="19" t="s">
        <v>6826</v>
      </c>
      <c r="K781" s="19" t="s">
        <v>6827</v>
      </c>
      <c r="M781" s="19" t="s">
        <v>6828</v>
      </c>
      <c r="P781" s="19" t="s">
        <v>6829</v>
      </c>
      <c r="Q781" s="19" t="s">
        <v>6830</v>
      </c>
      <c r="R781" s="19" t="s">
        <v>6831</v>
      </c>
    </row>
    <row r="782" spans="1:18">
      <c r="B782" s="19" t="s">
        <v>4690</v>
      </c>
    </row>
    <row r="783" spans="1:18">
      <c r="B783" s="19" t="s">
        <v>17</v>
      </c>
      <c r="F783" s="19" t="s">
        <v>79</v>
      </c>
      <c r="I783" s="19" t="s">
        <v>6832</v>
      </c>
      <c r="K783" s="19" t="s">
        <v>6833</v>
      </c>
      <c r="M783" s="19" t="s">
        <v>6834</v>
      </c>
      <c r="P783" s="19" t="s">
        <v>6835</v>
      </c>
      <c r="Q783" s="19" t="s">
        <v>6836</v>
      </c>
      <c r="R783" s="19" t="s">
        <v>6837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33872C8F7AE4EBB6BA2A0A0063E35" ma:contentTypeVersion="14" ma:contentTypeDescription="Create a new document." ma:contentTypeScope="" ma:versionID="a0441a915f45ae4e60fbb7aa26bc5c7c">
  <xsd:schema xmlns:xsd="http://www.w3.org/2001/XMLSchema" xmlns:xs="http://www.w3.org/2001/XMLSchema" xmlns:p="http://schemas.microsoft.com/office/2006/metadata/properties" xmlns:ns2="5a4850e6-a233-43d1-84f4-25e51b410eb6" xmlns:ns3="9cde9d8f-9819-450e-a77a-f1526e3ab26f" targetNamespace="http://schemas.microsoft.com/office/2006/metadata/properties" ma:root="true" ma:fieldsID="4fa072df72f3dcafd9aa191a7fef74b4" ns2:_="" ns3:_="">
    <xsd:import namespace="5a4850e6-a233-43d1-84f4-25e51b410eb6"/>
    <xsd:import namespace="9cde9d8f-9819-450e-a77a-f1526e3ab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850e6-a233-43d1-84f4-25e51b410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da3437-8968-46c7-a1fb-c77c09b07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1.Pending"/>
          <xsd:enumeration value="2.Needs Attention"/>
          <xsd:enumeration value="3.Complete"/>
          <xsd:enumeration value="Resour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e9d8f-9819-450e-a77a-f1526e3ab2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0b4c55-2dc8-482a-a913-f23f282515a3}" ma:internalName="TaxCatchAll" ma:showField="CatchAllData" ma:web="9cde9d8f-9819-450e-a77a-f1526e3ab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4850e6-a233-43d1-84f4-25e51b410eb6">
      <Terms xmlns="http://schemas.microsoft.com/office/infopath/2007/PartnerControls"/>
    </lcf76f155ced4ddcb4097134ff3c332f>
    <TaxCatchAll xmlns="9cde9d8f-9819-450e-a77a-f1526e3ab26f" xsi:nil="true"/>
    <Status xmlns="5a4850e6-a233-43d1-84f4-25e51b410eb6" xsi:nil="true"/>
  </documentManagement>
</p:properties>
</file>

<file path=customXml/itemProps1.xml><?xml version="1.0" encoding="utf-8"?>
<ds:datastoreItem xmlns:ds="http://schemas.openxmlformats.org/officeDocument/2006/customXml" ds:itemID="{9DC9684D-10CA-40DE-872F-4E1A05C3BE76}"/>
</file>

<file path=customXml/itemProps2.xml><?xml version="1.0" encoding="utf-8"?>
<ds:datastoreItem xmlns:ds="http://schemas.openxmlformats.org/officeDocument/2006/customXml" ds:itemID="{7AC940A3-7D96-41DB-B82F-AE8683D74AC1}"/>
</file>

<file path=customXml/itemProps3.xml><?xml version="1.0" encoding="utf-8"?>
<ds:datastoreItem xmlns:ds="http://schemas.openxmlformats.org/officeDocument/2006/customXml" ds:itemID="{432581FD-32CF-49B8-A947-5E70C6AFD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Finley Cook</dc:creator>
  <cp:keywords/>
  <dc:description/>
  <cp:lastModifiedBy/>
  <cp:revision/>
  <dcterms:created xsi:type="dcterms:W3CDTF">2018-05-30T01:01:22Z</dcterms:created>
  <dcterms:modified xsi:type="dcterms:W3CDTF">2025-08-27T15:13:49Z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1033</vt:lpwstr>
  </property>
  <property fmtid="{D5CDD505-2E9C-101B-9397-08002B2CF9AE}" pid="4" name="ContentTypeId">
    <vt:lpwstr>0x01010005033872C8F7AE4EBB6BA2A0A0063E35</vt:lpwstr>
  </property>
  <property fmtid="{D5CDD505-2E9C-101B-9397-08002B2CF9AE}" pid="5" name="MediaServiceImageTags">
    <vt:lpwstr/>
  </property>
</Properties>
</file>